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120" yWindow="0" windowWidth="28420" windowHeight="16500"/>
  </bookViews>
  <sheets>
    <sheet name="Ampacity" sheetId="3" r:id="rId1"/>
    <sheet name="Notes" sheetId="7" r:id="rId2"/>
    <sheet name="tables" sheetId="2" r:id="rId3"/>
    <sheet name="cmil" sheetId="4" r:id="rId4"/>
    <sheet name="Table 9" sheetId="5" r:id="rId5"/>
    <sheet name="Parallel Conductors" sheetId="6"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5" i="3" l="1"/>
  <c r="L28" i="3"/>
  <c r="Y5" i="4"/>
  <c r="Y6" i="4"/>
  <c r="Y7" i="4"/>
  <c r="Y8" i="4"/>
  <c r="Y9" i="4"/>
  <c r="Y10" i="4"/>
  <c r="Y11" i="4"/>
  <c r="Y12" i="4"/>
  <c r="Y13" i="4"/>
  <c r="Y14" i="4"/>
  <c r="Y15" i="4"/>
  <c r="Y16" i="4"/>
  <c r="Y17" i="4"/>
  <c r="Y18" i="4"/>
  <c r="Y19" i="4"/>
  <c r="Y20" i="4"/>
  <c r="Y21" i="4"/>
  <c r="Y22" i="4"/>
  <c r="Y23" i="4"/>
  <c r="Y24" i="4"/>
  <c r="Y25" i="4"/>
  <c r="Y26" i="4"/>
  <c r="Y27" i="4"/>
  <c r="Y28" i="4"/>
  <c r="Y29" i="4"/>
  <c r="Y30" i="4"/>
  <c r="Y31" i="4"/>
  <c r="Y32" i="4"/>
  <c r="Y2" i="4"/>
  <c r="L29" i="3"/>
  <c r="C9" i="3"/>
  <c r="L32" i="3"/>
  <c r="AG5"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2" i="4"/>
  <c r="L33" i="3"/>
  <c r="L35" i="3"/>
  <c r="L36" i="3"/>
  <c r="L37" i="3"/>
  <c r="AY14" i="4"/>
  <c r="AY15" i="4"/>
  <c r="AY16" i="4"/>
  <c r="AY17" i="4"/>
  <c r="AY18" i="4"/>
  <c r="AY19" i="4"/>
  <c r="AY20" i="4"/>
  <c r="AY21" i="4"/>
  <c r="AY22" i="4"/>
  <c r="AY23" i="4"/>
  <c r="AY24" i="4"/>
  <c r="AY25" i="4"/>
  <c r="AY26" i="4"/>
  <c r="AY27" i="4"/>
  <c r="AY28" i="4"/>
  <c r="AY29" i="4"/>
  <c r="AY30" i="4"/>
  <c r="AY31" i="4"/>
  <c r="AY32" i="4"/>
  <c r="AY2" i="4"/>
  <c r="U29" i="3"/>
  <c r="U37" i="3"/>
  <c r="U38" i="3"/>
  <c r="U39" i="3"/>
  <c r="U40" i="3"/>
  <c r="U41" i="3"/>
  <c r="U43" i="3"/>
  <c r="K28" i="3"/>
  <c r="X5" i="4"/>
  <c r="X6" i="4"/>
  <c r="X7" i="4"/>
  <c r="X8" i="4"/>
  <c r="X9" i="4"/>
  <c r="X10" i="4"/>
  <c r="X11" i="4"/>
  <c r="X12" i="4"/>
  <c r="X13" i="4"/>
  <c r="X14" i="4"/>
  <c r="X15" i="4"/>
  <c r="X16" i="4"/>
  <c r="X17" i="4"/>
  <c r="X18" i="4"/>
  <c r="X19" i="4"/>
  <c r="X20" i="4"/>
  <c r="X21" i="4"/>
  <c r="X22" i="4"/>
  <c r="X23" i="4"/>
  <c r="X24" i="4"/>
  <c r="X25" i="4"/>
  <c r="X26" i="4"/>
  <c r="X27" i="4"/>
  <c r="X28" i="4"/>
  <c r="X29" i="4"/>
  <c r="X30" i="4"/>
  <c r="X31" i="4"/>
  <c r="X32" i="4"/>
  <c r="X2" i="4"/>
  <c r="K29" i="3"/>
  <c r="K32" i="3"/>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2" i="4"/>
  <c r="K33" i="3"/>
  <c r="K35" i="3"/>
  <c r="K36" i="3"/>
  <c r="K37" i="3"/>
  <c r="AX14" i="4"/>
  <c r="AX15" i="4"/>
  <c r="AX16" i="4"/>
  <c r="AX17" i="4"/>
  <c r="AX18" i="4"/>
  <c r="AX19" i="4"/>
  <c r="AX20" i="4"/>
  <c r="AX21" i="4"/>
  <c r="AX22" i="4"/>
  <c r="AX23" i="4"/>
  <c r="AX24" i="4"/>
  <c r="AX25" i="4"/>
  <c r="AX26" i="4"/>
  <c r="AX27" i="4"/>
  <c r="AX28" i="4"/>
  <c r="AX29" i="4"/>
  <c r="AX30" i="4"/>
  <c r="AX31" i="4"/>
  <c r="AX32" i="4"/>
  <c r="AX2" i="4"/>
  <c r="T29" i="3"/>
  <c r="T37" i="3"/>
  <c r="T38" i="3"/>
  <c r="T39" i="3"/>
  <c r="T40" i="3"/>
  <c r="T41" i="3"/>
  <c r="T43" i="3"/>
  <c r="J28" i="3"/>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2" i="4"/>
  <c r="J29" i="3"/>
  <c r="J32" i="3"/>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2" i="4"/>
  <c r="J33" i="3"/>
  <c r="J35" i="3"/>
  <c r="J36" i="3"/>
  <c r="J37" i="3"/>
  <c r="AW14" i="4"/>
  <c r="AW15" i="4"/>
  <c r="AW16" i="4"/>
  <c r="AW17" i="4"/>
  <c r="AW18" i="4"/>
  <c r="AW19" i="4"/>
  <c r="AW20" i="4"/>
  <c r="AW21" i="4"/>
  <c r="AW22" i="4"/>
  <c r="AW23" i="4"/>
  <c r="AW24" i="4"/>
  <c r="AW25" i="4"/>
  <c r="AW26" i="4"/>
  <c r="AW27" i="4"/>
  <c r="AW28" i="4"/>
  <c r="AW29" i="4"/>
  <c r="AW30" i="4"/>
  <c r="AW31" i="4"/>
  <c r="AW32" i="4"/>
  <c r="AW2" i="4"/>
  <c r="S29" i="3"/>
  <c r="S37" i="3"/>
  <c r="S38" i="3"/>
  <c r="S39" i="3"/>
  <c r="S40" i="3"/>
  <c r="S41" i="3"/>
  <c r="S43" i="3"/>
  <c r="I28" i="3"/>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2" i="4"/>
  <c r="I29" i="3"/>
  <c r="I32" i="3"/>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2" i="4"/>
  <c r="I33" i="3"/>
  <c r="I35" i="3"/>
  <c r="I36" i="3"/>
  <c r="I37" i="3"/>
  <c r="AV14" i="4"/>
  <c r="AV15" i="4"/>
  <c r="AV16" i="4"/>
  <c r="AV17" i="4"/>
  <c r="AV18" i="4"/>
  <c r="AV19" i="4"/>
  <c r="AV20" i="4"/>
  <c r="AV21" i="4"/>
  <c r="AV22" i="4"/>
  <c r="AV23" i="4"/>
  <c r="AV24" i="4"/>
  <c r="AV25" i="4"/>
  <c r="AV26" i="4"/>
  <c r="AV27" i="4"/>
  <c r="AV28" i="4"/>
  <c r="AV29" i="4"/>
  <c r="AV30" i="4"/>
  <c r="AV31" i="4"/>
  <c r="AV32" i="4"/>
  <c r="AV2" i="4"/>
  <c r="R29" i="3"/>
  <c r="R37" i="3"/>
  <c r="R38" i="3"/>
  <c r="R39" i="3"/>
  <c r="R40" i="3"/>
  <c r="R41" i="3"/>
  <c r="R43" i="3"/>
  <c r="H28" i="3"/>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2" i="4"/>
  <c r="H29" i="3"/>
  <c r="H32" i="3"/>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2" i="4"/>
  <c r="H33" i="3"/>
  <c r="H35" i="3"/>
  <c r="H36" i="3"/>
  <c r="H37" i="3"/>
  <c r="AU14" i="4"/>
  <c r="AU15" i="4"/>
  <c r="AU16" i="4"/>
  <c r="AU17" i="4"/>
  <c r="AU18" i="4"/>
  <c r="AU19" i="4"/>
  <c r="AU20" i="4"/>
  <c r="AU21" i="4"/>
  <c r="AU22" i="4"/>
  <c r="AU23" i="4"/>
  <c r="AU24" i="4"/>
  <c r="AU25" i="4"/>
  <c r="AU26" i="4"/>
  <c r="AU27" i="4"/>
  <c r="AU28" i="4"/>
  <c r="AU29" i="4"/>
  <c r="AU30" i="4"/>
  <c r="AU31" i="4"/>
  <c r="AU32" i="4"/>
  <c r="AU2" i="4"/>
  <c r="Q29" i="3"/>
  <c r="Q37" i="3"/>
  <c r="Q38" i="3"/>
  <c r="Q39" i="3"/>
  <c r="Q40" i="3"/>
  <c r="Q41" i="3"/>
  <c r="Q43" i="3"/>
  <c r="G28" i="3"/>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2" i="4"/>
  <c r="G29" i="3"/>
  <c r="G32" i="3"/>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2" i="4"/>
  <c r="G33" i="3"/>
  <c r="G35" i="3"/>
  <c r="G36" i="3"/>
  <c r="G37" i="3"/>
  <c r="AT14" i="4"/>
  <c r="AT15" i="4"/>
  <c r="AT16" i="4"/>
  <c r="AT17" i="4"/>
  <c r="AT18" i="4"/>
  <c r="AT19" i="4"/>
  <c r="AT20" i="4"/>
  <c r="AT21" i="4"/>
  <c r="AT22" i="4"/>
  <c r="AT23" i="4"/>
  <c r="AT24" i="4"/>
  <c r="AT25" i="4"/>
  <c r="AT26" i="4"/>
  <c r="AT27" i="4"/>
  <c r="AT28" i="4"/>
  <c r="AT29" i="4"/>
  <c r="AT30" i="4"/>
  <c r="AT31" i="4"/>
  <c r="AT32" i="4"/>
  <c r="AT2" i="4"/>
  <c r="P29" i="3"/>
  <c r="P37" i="3"/>
  <c r="P38" i="3"/>
  <c r="P39" i="3"/>
  <c r="P40" i="3"/>
  <c r="P41" i="3"/>
  <c r="P43" i="3"/>
  <c r="F28" i="3"/>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2" i="4"/>
  <c r="F29" i="3"/>
  <c r="F32" i="3"/>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2" i="4"/>
  <c r="F33" i="3"/>
  <c r="F35" i="3"/>
  <c r="F36" i="3"/>
  <c r="F37" i="3"/>
  <c r="AS14" i="4"/>
  <c r="AS15" i="4"/>
  <c r="AS16" i="4"/>
  <c r="AS17" i="4"/>
  <c r="AS18" i="4"/>
  <c r="AS19" i="4"/>
  <c r="AS20" i="4"/>
  <c r="AS21" i="4"/>
  <c r="AS22" i="4"/>
  <c r="AS23" i="4"/>
  <c r="AS24" i="4"/>
  <c r="AS25" i="4"/>
  <c r="AS26" i="4"/>
  <c r="AS27" i="4"/>
  <c r="AS28" i="4"/>
  <c r="AS29" i="4"/>
  <c r="AS30" i="4"/>
  <c r="AS31" i="4"/>
  <c r="AS32" i="4"/>
  <c r="AS2" i="4"/>
  <c r="O29" i="3"/>
  <c r="O37" i="3"/>
  <c r="O38" i="3"/>
  <c r="O39" i="3"/>
  <c r="O40" i="3"/>
  <c r="O41" i="3"/>
  <c r="O43" i="3"/>
  <c r="E28" i="3"/>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2" i="4"/>
  <c r="E29" i="3"/>
  <c r="E32" i="3"/>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2" i="4"/>
  <c r="E33" i="3"/>
  <c r="E35" i="3"/>
  <c r="E36" i="3"/>
  <c r="E37" i="3"/>
  <c r="N37" i="3"/>
  <c r="N38" i="3"/>
  <c r="N39" i="3"/>
  <c r="N40" i="3"/>
  <c r="N41" i="3"/>
  <c r="N43" i="3"/>
  <c r="U42" i="3"/>
  <c r="T42" i="3"/>
  <c r="S42" i="3"/>
  <c r="R42" i="3"/>
  <c r="Q42" i="3"/>
  <c r="P42" i="3"/>
  <c r="O42" i="3"/>
  <c r="N42" i="3"/>
  <c r="L38" i="3"/>
  <c r="L39" i="3"/>
  <c r="B21" i="3"/>
  <c r="B22" i="3"/>
  <c r="L40" i="3"/>
  <c r="L41" i="3"/>
  <c r="L42" i="3"/>
  <c r="K38" i="3"/>
  <c r="K39" i="3"/>
  <c r="K40" i="3"/>
  <c r="K41" i="3"/>
  <c r="K42" i="3"/>
  <c r="J38" i="3"/>
  <c r="J39" i="3"/>
  <c r="J40" i="3"/>
  <c r="J41" i="3"/>
  <c r="J42" i="3"/>
  <c r="I38" i="3"/>
  <c r="I39" i="3"/>
  <c r="I40" i="3"/>
  <c r="I41" i="3"/>
  <c r="I42" i="3"/>
  <c r="H38" i="3"/>
  <c r="H39" i="3"/>
  <c r="H40" i="3"/>
  <c r="H41" i="3"/>
  <c r="H42" i="3"/>
  <c r="G38" i="3"/>
  <c r="G39" i="3"/>
  <c r="G40" i="3"/>
  <c r="G41" i="3"/>
  <c r="G42" i="3"/>
  <c r="F38" i="3"/>
  <c r="F39" i="3"/>
  <c r="F40" i="3"/>
  <c r="F41" i="3"/>
  <c r="F42" i="3"/>
  <c r="E38" i="3"/>
  <c r="E39" i="3"/>
  <c r="E40" i="3"/>
  <c r="E41" i="3"/>
  <c r="E42" i="3"/>
  <c r="U46" i="3"/>
  <c r="T46" i="3"/>
  <c r="S46" i="3"/>
  <c r="R46" i="3"/>
  <c r="Q46" i="3"/>
  <c r="P46" i="3"/>
  <c r="O46" i="3"/>
  <c r="N46" i="3"/>
  <c r="U45" i="3"/>
  <c r="T45" i="3"/>
  <c r="S45" i="3"/>
  <c r="R45" i="3"/>
  <c r="Q45" i="3"/>
  <c r="P45" i="3"/>
  <c r="O45" i="3"/>
  <c r="N45" i="3"/>
  <c r="L5" i="3"/>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2" i="4"/>
  <c r="L6" i="3"/>
  <c r="L9" i="3"/>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2" i="4"/>
  <c r="L10" i="3"/>
  <c r="L12" i="3"/>
  <c r="L13" i="3"/>
  <c r="L14" i="3"/>
  <c r="U14" i="3"/>
  <c r="K5" i="3"/>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2" i="4"/>
  <c r="K6" i="3"/>
  <c r="K9" i="3"/>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2" i="4"/>
  <c r="K10" i="3"/>
  <c r="K12" i="3"/>
  <c r="K13" i="3"/>
  <c r="K14" i="3"/>
  <c r="T14" i="3"/>
  <c r="J5" i="3"/>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2" i="4"/>
  <c r="J6" i="3"/>
  <c r="J9" i="3"/>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2" i="4"/>
  <c r="J10" i="3"/>
  <c r="J12" i="3"/>
  <c r="J13" i="3"/>
  <c r="J14" i="3"/>
  <c r="S14" i="3"/>
  <c r="I5" i="3"/>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2" i="4"/>
  <c r="I6" i="3"/>
  <c r="I9" i="3"/>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2" i="4"/>
  <c r="I10" i="3"/>
  <c r="I12" i="3"/>
  <c r="I13" i="3"/>
  <c r="I14" i="3"/>
  <c r="R14" i="3"/>
  <c r="H5" i="3"/>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2" i="4"/>
  <c r="H6" i="3"/>
  <c r="H9" i="3"/>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2" i="4"/>
  <c r="H10" i="3"/>
  <c r="H12" i="3"/>
  <c r="H13" i="3"/>
  <c r="H14" i="3"/>
  <c r="AL5" i="4"/>
  <c r="AL6" i="4"/>
  <c r="AL7" i="4"/>
  <c r="AL8" i="4"/>
  <c r="AL9" i="4"/>
  <c r="AL10" i="4"/>
  <c r="AL11" i="4"/>
  <c r="AL12" i="4"/>
  <c r="AL13" i="4"/>
  <c r="AL14" i="4"/>
  <c r="AL15" i="4"/>
  <c r="AL16" i="4"/>
  <c r="AL17" i="4"/>
  <c r="AL18" i="4"/>
  <c r="AL19" i="4"/>
  <c r="AL20" i="4"/>
  <c r="AL21" i="4"/>
  <c r="AL22" i="4"/>
  <c r="AL23" i="4"/>
  <c r="AL24" i="4"/>
  <c r="AL25" i="4"/>
  <c r="AL26" i="4"/>
  <c r="AL27" i="4"/>
  <c r="AL28" i="4"/>
  <c r="AL29" i="4"/>
  <c r="AL30" i="4"/>
  <c r="AL31" i="4"/>
  <c r="AL32" i="4"/>
  <c r="AL2" i="4"/>
  <c r="Q6" i="3"/>
  <c r="Q14" i="3"/>
  <c r="G5" i="3"/>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2" i="4"/>
  <c r="G6" i="3"/>
  <c r="G9" i="3"/>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2" i="4"/>
  <c r="G10" i="3"/>
  <c r="G12" i="3"/>
  <c r="G13" i="3"/>
  <c r="G14" i="3"/>
  <c r="AK5"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K32" i="4"/>
  <c r="AK2" i="4"/>
  <c r="P6" i="3"/>
  <c r="P14" i="3"/>
  <c r="F5" i="3"/>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2" i="4"/>
  <c r="F6" i="3"/>
  <c r="F9" i="3"/>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2" i="4"/>
  <c r="F10" i="3"/>
  <c r="F12" i="3"/>
  <c r="F13" i="3"/>
  <c r="F14" i="3"/>
  <c r="O14" i="3"/>
  <c r="AR5" i="4"/>
  <c r="AR6"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R32" i="4"/>
  <c r="AR2" i="4"/>
  <c r="N29" i="3"/>
  <c r="E5" i="3"/>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2" i="4"/>
  <c r="E6" i="3"/>
  <c r="E9" i="3"/>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2" i="4"/>
  <c r="E10" i="3"/>
  <c r="E12" i="3"/>
  <c r="E13" i="3"/>
  <c r="E14" i="3"/>
  <c r="N14" i="3"/>
  <c r="U44" i="3"/>
  <c r="T44" i="3"/>
  <c r="S44" i="3"/>
  <c r="R44" i="3"/>
  <c r="Q44" i="3"/>
  <c r="P44" i="3"/>
  <c r="O44" i="3"/>
  <c r="N44" i="3"/>
  <c r="C8" i="3"/>
  <c r="C6" i="3"/>
  <c r="N52" i="6"/>
  <c r="N51" i="6"/>
  <c r="N50" i="6"/>
  <c r="N49" i="6"/>
  <c r="N48" i="6"/>
  <c r="N47" i="6"/>
  <c r="N46" i="6"/>
  <c r="N45" i="6"/>
  <c r="N44" i="6"/>
  <c r="N43" i="6"/>
  <c r="N42" i="6"/>
  <c r="N41" i="6"/>
  <c r="N40" i="6"/>
  <c r="N39" i="6"/>
  <c r="N38" i="6"/>
  <c r="N37" i="6"/>
  <c r="N36" i="6"/>
  <c r="N35" i="6"/>
  <c r="N34" i="6"/>
  <c r="N33" i="6"/>
  <c r="N32" i="6"/>
  <c r="N31" i="6"/>
  <c r="N30" i="6"/>
  <c r="N29" i="6"/>
  <c r="N28" i="6"/>
  <c r="N27" i="6"/>
  <c r="N26" i="6"/>
  <c r="N25" i="6"/>
  <c r="N24" i="6"/>
  <c r="N23" i="6"/>
  <c r="N22" i="6"/>
  <c r="N21" i="6"/>
  <c r="N20" i="6"/>
  <c r="N19" i="6"/>
  <c r="N18" i="6"/>
  <c r="N17" i="6"/>
  <c r="N16" i="6"/>
  <c r="N15" i="6"/>
  <c r="N14" i="6"/>
  <c r="N13" i="6"/>
  <c r="N12" i="6"/>
  <c r="N11" i="6"/>
  <c r="N10" i="6"/>
  <c r="N9" i="6"/>
  <c r="J12" i="6"/>
  <c r="J11" i="6"/>
  <c r="I13" i="6"/>
  <c r="I12" i="6"/>
  <c r="I11" i="6"/>
  <c r="H13" i="6"/>
  <c r="H12" i="6"/>
  <c r="H11" i="6"/>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2" i="4"/>
  <c r="T6" i="3"/>
  <c r="B17" i="3"/>
  <c r="T22" i="3"/>
  <c r="AP5" i="4"/>
  <c r="AP6" i="4"/>
  <c r="AP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2" i="4"/>
  <c r="U6" i="3"/>
  <c r="U22" i="3"/>
  <c r="B18" i="3"/>
  <c r="U23" i="3"/>
  <c r="T23" i="3"/>
  <c r="U16" i="3"/>
  <c r="U15" i="3"/>
  <c r="U17" i="3"/>
  <c r="U18" i="3"/>
  <c r="T16" i="3"/>
  <c r="T15" i="3"/>
  <c r="T17" i="3"/>
  <c r="T18" i="3"/>
  <c r="U21" i="3"/>
  <c r="U20" i="3"/>
  <c r="U19" i="3"/>
  <c r="T21" i="3"/>
  <c r="T20" i="3"/>
  <c r="T19" i="3"/>
  <c r="L45" i="3"/>
  <c r="K45" i="3"/>
  <c r="J45" i="3"/>
  <c r="I45" i="3"/>
  <c r="H45" i="3"/>
  <c r="G45" i="3"/>
  <c r="F45" i="3"/>
  <c r="E45" i="3"/>
  <c r="L46" i="3"/>
  <c r="K46" i="3"/>
  <c r="L44" i="3"/>
  <c r="L43" i="3"/>
  <c r="K44" i="3"/>
  <c r="K43" i="3"/>
  <c r="J43" i="3"/>
  <c r="I43" i="3"/>
  <c r="H43" i="3"/>
  <c r="G43" i="3"/>
  <c r="L23" i="3"/>
  <c r="K23" i="3"/>
  <c r="L22" i="3"/>
  <c r="K22" i="3"/>
  <c r="L15" i="3"/>
  <c r="L16" i="3"/>
  <c r="L17" i="3"/>
  <c r="L21" i="3"/>
  <c r="K15" i="3"/>
  <c r="K16" i="3"/>
  <c r="K17" i="3"/>
  <c r="K21" i="3"/>
  <c r="L18" i="3"/>
  <c r="L20" i="3"/>
  <c r="K18" i="3"/>
  <c r="K20" i="3"/>
  <c r="L19" i="3"/>
  <c r="K19" i="3"/>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2" i="4"/>
  <c r="S6" i="3"/>
  <c r="S22" i="3"/>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2" i="4"/>
  <c r="R6" i="3"/>
  <c r="R22" i="3"/>
  <c r="Q22" i="3"/>
  <c r="P22" i="3"/>
  <c r="AJ5"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2" i="4"/>
  <c r="O6" i="3"/>
  <c r="O22" i="3"/>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2" i="4"/>
  <c r="N6" i="3"/>
  <c r="N22" i="3"/>
  <c r="J22" i="3"/>
  <c r="J23" i="3"/>
  <c r="I22" i="3"/>
  <c r="I23" i="3"/>
  <c r="H22" i="3"/>
  <c r="H23" i="3"/>
  <c r="G22" i="3"/>
  <c r="G23" i="3"/>
  <c r="F22" i="3"/>
  <c r="F23" i="3"/>
  <c r="E22" i="3"/>
  <c r="E23" i="3"/>
  <c r="C7" i="3"/>
  <c r="B10" i="3"/>
  <c r="C12" i="3"/>
  <c r="E15" i="3"/>
  <c r="F15" i="3"/>
  <c r="G15" i="3"/>
  <c r="H15" i="3"/>
  <c r="I15" i="3"/>
  <c r="J15" i="3"/>
  <c r="N15" i="3"/>
  <c r="O15" i="3"/>
  <c r="P15" i="3"/>
  <c r="Q15" i="3"/>
  <c r="R15" i="3"/>
  <c r="S15" i="3"/>
  <c r="E16" i="3"/>
  <c r="F16" i="3"/>
  <c r="G16" i="3"/>
  <c r="H16" i="3"/>
  <c r="I16" i="3"/>
  <c r="J16" i="3"/>
  <c r="N16" i="3"/>
  <c r="O16" i="3"/>
  <c r="P16" i="3"/>
  <c r="Q16" i="3"/>
  <c r="R16" i="3"/>
  <c r="S16" i="3"/>
  <c r="E17" i="3"/>
  <c r="F17" i="3"/>
  <c r="G17" i="3"/>
  <c r="H17" i="3"/>
  <c r="I17" i="3"/>
  <c r="J17" i="3"/>
  <c r="N17" i="3"/>
  <c r="O17" i="3"/>
  <c r="P17" i="3"/>
  <c r="Q17" i="3"/>
  <c r="R17" i="3"/>
  <c r="S17" i="3"/>
  <c r="E18" i="3"/>
  <c r="F18" i="3"/>
  <c r="G18" i="3"/>
  <c r="H18" i="3"/>
  <c r="I18" i="3"/>
  <c r="J18" i="3"/>
  <c r="N18" i="3"/>
  <c r="O18" i="3"/>
  <c r="P18" i="3"/>
  <c r="Q18" i="3"/>
  <c r="R18" i="3"/>
  <c r="S18" i="3"/>
  <c r="E19" i="3"/>
  <c r="F19" i="3"/>
  <c r="G19" i="3"/>
  <c r="H19" i="3"/>
  <c r="I19" i="3"/>
  <c r="J19" i="3"/>
  <c r="N19" i="3"/>
  <c r="O19" i="3"/>
  <c r="P19" i="3"/>
  <c r="Q19" i="3"/>
  <c r="R19" i="3"/>
  <c r="S19" i="3"/>
  <c r="E20" i="3"/>
  <c r="F20" i="3"/>
  <c r="G20" i="3"/>
  <c r="H20" i="3"/>
  <c r="I20" i="3"/>
  <c r="J20" i="3"/>
  <c r="N20" i="3"/>
  <c r="O20" i="3"/>
  <c r="P20" i="3"/>
  <c r="Q20" i="3"/>
  <c r="R20" i="3"/>
  <c r="S20" i="3"/>
  <c r="E21" i="3"/>
  <c r="F21" i="3"/>
  <c r="G21" i="3"/>
  <c r="H21" i="3"/>
  <c r="I21" i="3"/>
  <c r="J21" i="3"/>
  <c r="N21" i="3"/>
  <c r="O21" i="3"/>
  <c r="P21" i="3"/>
  <c r="Q21" i="3"/>
  <c r="R21" i="3"/>
  <c r="S21" i="3"/>
  <c r="N23" i="3"/>
  <c r="O23" i="3"/>
  <c r="P23" i="3"/>
  <c r="Q23" i="3"/>
  <c r="R23" i="3"/>
  <c r="S23" i="3"/>
  <c r="C35" i="3"/>
  <c r="E43" i="3"/>
  <c r="F43" i="3"/>
  <c r="E44" i="3"/>
  <c r="F44" i="3"/>
  <c r="G44" i="3"/>
  <c r="H44" i="3"/>
  <c r="I44" i="3"/>
  <c r="J44" i="3"/>
  <c r="E46" i="3"/>
  <c r="F46" i="3"/>
  <c r="G46" i="3"/>
  <c r="H46" i="3"/>
  <c r="I46" i="3"/>
  <c r="J46" i="3"/>
  <c r="V2" i="2"/>
  <c r="Y2" i="2"/>
  <c r="C11" i="6"/>
  <c r="D11" i="6"/>
  <c r="E11" i="6"/>
  <c r="F11" i="6"/>
  <c r="G11" i="6"/>
  <c r="C12" i="6"/>
  <c r="D12" i="6"/>
  <c r="E12" i="6"/>
  <c r="F12" i="6"/>
  <c r="G12" i="6"/>
  <c r="C13" i="6"/>
  <c r="D13" i="6"/>
  <c r="E13" i="6"/>
  <c r="F13" i="6"/>
  <c r="G13" i="6"/>
  <c r="C14" i="6"/>
  <c r="D14" i="6"/>
  <c r="E14" i="6"/>
  <c r="F14" i="6"/>
  <c r="G14" i="6"/>
  <c r="C15" i="6"/>
  <c r="D15" i="6"/>
  <c r="E15" i="6"/>
  <c r="F15" i="6"/>
  <c r="G15" i="6"/>
  <c r="C16" i="6"/>
  <c r="D16" i="6"/>
  <c r="E16" i="6"/>
  <c r="F16" i="6"/>
  <c r="G16" i="6"/>
  <c r="C17" i="6"/>
  <c r="D17" i="6"/>
  <c r="E17" i="6"/>
  <c r="F17" i="6"/>
  <c r="G17" i="6"/>
  <c r="C18" i="6"/>
  <c r="D18" i="6"/>
  <c r="E18" i="6"/>
  <c r="F18" i="6"/>
  <c r="G18" i="6"/>
  <c r="C19" i="6"/>
  <c r="D19" i="6"/>
  <c r="E19" i="6"/>
  <c r="F19" i="6"/>
  <c r="G19" i="6"/>
  <c r="C20" i="6"/>
  <c r="D20" i="6"/>
  <c r="E20" i="6"/>
  <c r="F20" i="6"/>
  <c r="G20" i="6"/>
  <c r="C21" i="6"/>
  <c r="D21" i="6"/>
  <c r="E21" i="6"/>
  <c r="F21" i="6"/>
  <c r="G21" i="6"/>
  <c r="C22" i="6"/>
  <c r="D22" i="6"/>
  <c r="E22" i="6"/>
  <c r="F22" i="6"/>
  <c r="G22" i="6"/>
  <c r="C23" i="6"/>
  <c r="D23" i="6"/>
  <c r="E23" i="6"/>
  <c r="F23" i="6"/>
  <c r="G23" i="6"/>
  <c r="C24" i="6"/>
  <c r="D24" i="6"/>
  <c r="E24" i="6"/>
  <c r="F24" i="6"/>
  <c r="G24" i="6"/>
  <c r="C25" i="6"/>
  <c r="D25" i="6"/>
  <c r="E25" i="6"/>
  <c r="F25" i="6"/>
  <c r="G25" i="6"/>
  <c r="C26" i="6"/>
  <c r="D26" i="6"/>
  <c r="E26" i="6"/>
  <c r="F26" i="6"/>
  <c r="G26" i="6"/>
  <c r="C27" i="6"/>
  <c r="D27" i="6"/>
  <c r="E27" i="6"/>
  <c r="F27" i="6"/>
  <c r="G27" i="6"/>
  <c r="C28" i="6"/>
  <c r="D28" i="6"/>
  <c r="E28" i="6"/>
  <c r="F28" i="6"/>
  <c r="G28" i="6"/>
  <c r="C29" i="6"/>
  <c r="D29" i="6"/>
  <c r="E29" i="6"/>
  <c r="F29" i="6"/>
  <c r="G29" i="6"/>
</calcChain>
</file>

<file path=xl/comments1.xml><?xml version="1.0" encoding="utf-8"?>
<comments xmlns="http://schemas.openxmlformats.org/spreadsheetml/2006/main">
  <authors>
    <author>Eric Stromberg</author>
  </authors>
  <commentList>
    <comment ref="D15" authorId="0">
      <text>
        <r>
          <rPr>
            <b/>
            <sz val="9"/>
            <color indexed="81"/>
            <rFont val="Tahoma"/>
          </rPr>
          <t>Eric Stromberg:</t>
        </r>
        <r>
          <rPr>
            <sz val="9"/>
            <color indexed="81"/>
            <rFont val="Tahoma"/>
          </rPr>
          <t xml:space="preserve">
This is the X value for a single conductor, straight from the table</t>
        </r>
      </text>
    </comment>
    <comment ref="V15" authorId="0">
      <text>
        <r>
          <rPr>
            <b/>
            <sz val="9"/>
            <color indexed="81"/>
            <rFont val="Tahoma"/>
          </rPr>
          <t>Eric Stromberg:</t>
        </r>
        <r>
          <rPr>
            <sz val="9"/>
            <color indexed="81"/>
            <rFont val="Tahoma"/>
          </rPr>
          <t xml:space="preserve">
This is the X value for a single conductor, straight from the table</t>
        </r>
      </text>
    </comment>
    <comment ref="D16" authorId="0">
      <text>
        <r>
          <rPr>
            <b/>
            <sz val="9"/>
            <color indexed="81"/>
            <rFont val="Tahoma"/>
          </rPr>
          <t>Eric Stromberg:</t>
        </r>
        <r>
          <rPr>
            <sz val="9"/>
            <color indexed="81"/>
            <rFont val="Tahoma"/>
          </rPr>
          <t xml:space="preserve">
This is the R value for a single conductor, straight from the table</t>
        </r>
      </text>
    </comment>
    <comment ref="V16" authorId="0">
      <text>
        <r>
          <rPr>
            <b/>
            <sz val="9"/>
            <color indexed="81"/>
            <rFont val="Tahoma"/>
          </rPr>
          <t>Eric Stromberg:</t>
        </r>
        <r>
          <rPr>
            <sz val="9"/>
            <color indexed="81"/>
            <rFont val="Tahoma"/>
          </rPr>
          <t xml:space="preserve">
This is the R value for a single conductor, straight from the table</t>
        </r>
      </text>
    </comment>
    <comment ref="D17" authorId="0">
      <text>
        <r>
          <rPr>
            <b/>
            <sz val="9"/>
            <color indexed="81"/>
            <rFont val="Tahoma"/>
          </rPr>
          <t>Eric Stromberg:</t>
        </r>
        <r>
          <rPr>
            <sz val="9"/>
            <color indexed="81"/>
            <rFont val="Tahoma"/>
          </rPr>
          <t xml:space="preserve">
This is the calcuated Z of a single set of cables.  
</t>
        </r>
      </text>
    </comment>
    <comment ref="V17" authorId="0">
      <text>
        <r>
          <rPr>
            <b/>
            <sz val="9"/>
            <color indexed="81"/>
            <rFont val="Tahoma"/>
          </rPr>
          <t>Eric Stromberg:</t>
        </r>
        <r>
          <rPr>
            <sz val="9"/>
            <color indexed="81"/>
            <rFont val="Tahoma"/>
          </rPr>
          <t xml:space="preserve">
This is the calcuated Z of a single set of cables.  
</t>
        </r>
      </text>
    </comment>
    <comment ref="D18" authorId="0">
      <text>
        <r>
          <rPr>
            <b/>
            <sz val="9"/>
            <color indexed="81"/>
            <rFont val="Tahoma"/>
          </rPr>
          <t>Eric Stromberg:</t>
        </r>
        <r>
          <rPr>
            <sz val="9"/>
            <color indexed="81"/>
            <rFont val="Tahoma"/>
          </rPr>
          <t xml:space="preserve">
this is the Voltage drop per 1000 feet for the circuit.  The calculated value takes into acccount the number of parallel conductors</t>
        </r>
      </text>
    </comment>
    <comment ref="V18" authorId="0">
      <text>
        <r>
          <rPr>
            <b/>
            <sz val="9"/>
            <color indexed="81"/>
            <rFont val="Tahoma"/>
          </rPr>
          <t>Eric Stromberg:</t>
        </r>
        <r>
          <rPr>
            <sz val="9"/>
            <color indexed="81"/>
            <rFont val="Tahoma"/>
          </rPr>
          <t xml:space="preserve">
this is the Voltage drop per 1000 feet for the circuit.  The calculated value takes into acccount the number of parallel conductors</t>
        </r>
      </text>
    </comment>
    <comment ref="D22" authorId="0">
      <text>
        <r>
          <rPr>
            <b/>
            <sz val="9"/>
            <color indexed="81"/>
            <rFont val="Tahoma"/>
          </rPr>
          <t>Eric Stromberg:</t>
        </r>
        <r>
          <rPr>
            <sz val="9"/>
            <color indexed="81"/>
            <rFont val="Tahoma"/>
          </rPr>
          <t xml:space="preserve">
This Cell is the distance that is based on the voltage drop formula commonly referred to as the KID formula.  It is as follows:
Vdrop (1phase) = (2*I*K*D)/(cmil)
….or...
Vdrop (3phase) = (sqrt(3)*I*K*D)/(cmil)
Where K for copper is 12.9
...and...
Where K for aluminim is 21.2
Although this formula is commonly used, it does not take into account power factor or raceway type.  Also, although K is considered a constant, it is not. 
Whereas this formula is usually more generous when it comes to allowable distances, it is not very good for motor starting when the power factor is around 40%.  Using the KID formula for motor starting will result in very large conductor sizes.</t>
        </r>
      </text>
    </comment>
    <comment ref="V22" authorId="0">
      <text>
        <r>
          <rPr>
            <b/>
            <sz val="9"/>
            <color indexed="81"/>
            <rFont val="Tahoma"/>
          </rPr>
          <t>Eric Stromberg:</t>
        </r>
        <r>
          <rPr>
            <sz val="9"/>
            <color indexed="81"/>
            <rFont val="Tahoma"/>
          </rPr>
          <t xml:space="preserve">
This Cell is the distance that is based on the voltage drop formula commonly referred to as the KID formula.  It is as follows:
Vdrop (1phase) = (2*I*K*D)/(cmil)
….or...
Vdrop (3phase) = (sqrt(3)*I*K*D)/(cmil)
Where K for copper is 12.9
...and...
Where K for aluminim is 21.2
Although this formula is commonly used, it does not take into account power factor or raceway type.  Also, although K is considered a constant, it is not. 
Whereas this formula is usually more generous when it comes to allowable distances, it is not very good for motor starting when the power factor is around 40%.  Using the KID formula for motor starting will result in very large conductor sizes.</t>
        </r>
      </text>
    </comment>
    <comment ref="D23" authorId="0">
      <text>
        <r>
          <rPr>
            <b/>
            <sz val="9"/>
            <color indexed="81"/>
            <rFont val="Tahoma"/>
          </rPr>
          <t>Eric Stromberg:</t>
        </r>
        <r>
          <rPr>
            <sz val="9"/>
            <color indexed="81"/>
            <rFont val="Tahoma"/>
          </rPr>
          <t xml:space="preserve">
This Cell is the distance that is based on the voltage drop formula commonly referred to as the KID formula.  It is as follows:
Vdrop (1phase) = (2*I*K*D)/(cmil)
….or...
Vdrop (3phase) = (sqrt(3)*I*K*D)/(cmil)
Where K for copper is 12.9
...and...
Where K for aluminim is 21.2
Although this formula is commonly used, it does not take into account power factor or raceway type.  Also, although K is considered a constant, it is not. 
Whereas this formula is usually more generous when it comes to allowable distances, it is not very good for motor starting when the power factor is around 40%.  Using the KID formula for motor starting will result in very large conductor sizes.</t>
        </r>
      </text>
    </comment>
    <comment ref="V23" authorId="0">
      <text>
        <r>
          <rPr>
            <b/>
            <sz val="9"/>
            <color indexed="81"/>
            <rFont val="Tahoma"/>
          </rPr>
          <t>Eric Stromberg:</t>
        </r>
        <r>
          <rPr>
            <sz val="9"/>
            <color indexed="81"/>
            <rFont val="Tahoma"/>
          </rPr>
          <t xml:space="preserve">
This Cell is the distance that is based on the voltage drop formula commonly referred to as the KID formula.  It is as follows:
Vdrop (1phase) = (2*I*K*D)/(cmil)
….or...
Vdrop (3phase) = (sqrt(3)*I*K*D)/(cmil)
Where K for copper is 12.9
...and...
Where K for aluminim is 21.2
Although this formula is commonly used, it does not take into account power factor or raceway type.  Also, although K is considered a constant, it is not. 
Whereas this formula is usually more generous when it comes to allowable distances, it is not very good for motor starting when the power factor is around 40%.  Using the KID formula for motor starting will result in very large conductor sizes.</t>
        </r>
      </text>
    </comment>
  </commentList>
</comments>
</file>

<file path=xl/sharedStrings.xml><?xml version="1.0" encoding="utf-8"?>
<sst xmlns="http://schemas.openxmlformats.org/spreadsheetml/2006/main" count="791" uniqueCount="197">
  <si>
    <t>This spreadsheet does not include any 60 degree ampaciites.  60 degree terminations are largely a thing of the past, as most electrical equipment terminations have been rated at 75 degrees for some time now.</t>
  </si>
  <si>
    <t>2% Voltage drop</t>
  </si>
  <si>
    <t>2% dist</t>
  </si>
  <si>
    <t>KID 3%</t>
  </si>
  <si>
    <t>1/0</t>
  </si>
  <si>
    <t>2/0</t>
  </si>
  <si>
    <t>3/0</t>
  </si>
  <si>
    <t>4/0</t>
  </si>
  <si>
    <t>8</t>
  </si>
  <si>
    <t>Conductor</t>
  </si>
  <si>
    <t>250</t>
  </si>
  <si>
    <t>300</t>
  </si>
  <si>
    <t>350</t>
  </si>
  <si>
    <t>400</t>
  </si>
  <si>
    <t>500</t>
  </si>
  <si>
    <t>600</t>
  </si>
  <si>
    <t>700</t>
  </si>
  <si>
    <t>750</t>
  </si>
  <si>
    <t>800</t>
  </si>
  <si>
    <t>900</t>
  </si>
  <si>
    <t>1000</t>
  </si>
  <si>
    <t>1250</t>
  </si>
  <si>
    <t>1500</t>
  </si>
  <si>
    <t>1750</t>
  </si>
  <si>
    <t>2000</t>
  </si>
  <si>
    <t>Load</t>
  </si>
  <si>
    <t>Current Carrying Conductors</t>
  </si>
  <si>
    <t>AWG</t>
  </si>
  <si>
    <t>CMIL</t>
  </si>
  <si>
    <t>CCC</t>
  </si>
  <si>
    <t>Percentage</t>
  </si>
  <si>
    <t>Factor</t>
  </si>
  <si>
    <t>90degC Amp</t>
  </si>
  <si>
    <t>75degC Amp</t>
  </si>
  <si>
    <t>Design Load</t>
  </si>
  <si>
    <t>Y</t>
  </si>
  <si>
    <t>6</t>
  </si>
  <si>
    <t>4</t>
  </si>
  <si>
    <t>10</t>
  </si>
  <si>
    <t>12</t>
  </si>
  <si>
    <t>3</t>
  </si>
  <si>
    <t>2</t>
  </si>
  <si>
    <t>1</t>
  </si>
  <si>
    <t>Continuous? (y/n)</t>
  </si>
  <si>
    <t>N</t>
  </si>
  <si>
    <t>OCP size</t>
  </si>
  <si>
    <t>14</t>
  </si>
  <si>
    <t>error</t>
  </si>
  <si>
    <t>Error</t>
  </si>
  <si>
    <t>Ambient Temperature - C</t>
  </si>
  <si>
    <t>Ambient Temperature - F</t>
  </si>
  <si>
    <t>Ambient - C</t>
  </si>
  <si>
    <t>Ambient - F</t>
  </si>
  <si>
    <t>AWG - al</t>
  </si>
  <si>
    <t>AWG - cu</t>
  </si>
  <si>
    <t>2/phase</t>
  </si>
  <si>
    <t>3/phase</t>
  </si>
  <si>
    <t>4/phase</t>
  </si>
  <si>
    <t>5/phase</t>
  </si>
  <si>
    <t>6/phase</t>
  </si>
  <si>
    <t>cu - Term</t>
  </si>
  <si>
    <t>cu - Cond</t>
  </si>
  <si>
    <t>90degC</t>
  </si>
  <si>
    <t>Copper</t>
  </si>
  <si>
    <t>Aluminum</t>
  </si>
  <si>
    <t>Over</t>
  </si>
  <si>
    <t>Use Cond.</t>
  </si>
  <si>
    <t>2x term</t>
  </si>
  <si>
    <t>2x cond</t>
  </si>
  <si>
    <t>3x term</t>
  </si>
  <si>
    <t>4x term</t>
  </si>
  <si>
    <t>5x term</t>
  </si>
  <si>
    <t>6x term</t>
  </si>
  <si>
    <t>3x cond</t>
  </si>
  <si>
    <t>4x cond</t>
  </si>
  <si>
    <t>5x cond</t>
  </si>
  <si>
    <t>6x cond</t>
  </si>
  <si>
    <t>al - Term</t>
  </si>
  <si>
    <t>2x - Term</t>
  </si>
  <si>
    <t>3x - Term</t>
  </si>
  <si>
    <t>4x - Term</t>
  </si>
  <si>
    <t>5x - Term</t>
  </si>
  <si>
    <t>6x - Term</t>
  </si>
  <si>
    <t>al - cond</t>
  </si>
  <si>
    <t>2x - cond</t>
  </si>
  <si>
    <t>3x - cond</t>
  </si>
  <si>
    <t>4x - cond</t>
  </si>
  <si>
    <t>5x - cond</t>
  </si>
  <si>
    <t>6x - cond</t>
  </si>
  <si>
    <t>Protection</t>
  </si>
  <si>
    <t>Cu - EGC</t>
  </si>
  <si>
    <t>Al - EGC</t>
  </si>
  <si>
    <t>EGC</t>
  </si>
  <si>
    <t>75°C Termination</t>
  </si>
  <si>
    <t>Conductor size</t>
  </si>
  <si>
    <t>90°C adjusted</t>
  </si>
  <si>
    <t>Supply</t>
  </si>
  <si>
    <t>Cond. Size</t>
  </si>
  <si>
    <t>Cu - GEC</t>
  </si>
  <si>
    <t>Al - GEC</t>
  </si>
  <si>
    <t>?</t>
  </si>
  <si>
    <t>INPUTS</t>
  </si>
  <si>
    <t>Steel</t>
  </si>
  <si>
    <t>85% pf</t>
  </si>
  <si>
    <t>cu</t>
  </si>
  <si>
    <t>Air/PVC</t>
  </si>
  <si>
    <t>al</t>
  </si>
  <si>
    <t>Number of Phases</t>
  </si>
  <si>
    <t>Raceway type</t>
  </si>
  <si>
    <t>PVC/Air</t>
  </si>
  <si>
    <t>Power Factor</t>
  </si>
  <si>
    <t>Voltage Drop</t>
  </si>
  <si>
    <t>System Voltage</t>
  </si>
  <si>
    <t>3% Voltage drop</t>
  </si>
  <si>
    <t>PVC/Air/Al</t>
  </si>
  <si>
    <t>X for all conductors</t>
  </si>
  <si>
    <t>R for copper conductors</t>
  </si>
  <si>
    <t>R for aluminum conductors</t>
  </si>
  <si>
    <t>310.15(B)(16)</t>
  </si>
  <si>
    <t>Zeff</t>
  </si>
  <si>
    <t>X</t>
  </si>
  <si>
    <t>R</t>
  </si>
  <si>
    <t>Vd/kf</t>
  </si>
  <si>
    <t>TrueK</t>
  </si>
  <si>
    <t>tot kcmil</t>
  </si>
  <si>
    <t>3% dist</t>
  </si>
  <si>
    <t>2x</t>
  </si>
  <si>
    <t>3x</t>
  </si>
  <si>
    <t>4x</t>
  </si>
  <si>
    <t>5x</t>
  </si>
  <si>
    <t>6x</t>
  </si>
  <si>
    <t>2 x 1/0</t>
  </si>
  <si>
    <t>2 x 2/0</t>
  </si>
  <si>
    <t>3 x 1/0</t>
  </si>
  <si>
    <t>2 x 3/0</t>
  </si>
  <si>
    <t>3 x 2/0</t>
  </si>
  <si>
    <t>4 x 1/0</t>
  </si>
  <si>
    <t>2 x 4/0</t>
  </si>
  <si>
    <t>2 x 250</t>
  </si>
  <si>
    <t>3 x 3/0</t>
  </si>
  <si>
    <t>4 x 2/0</t>
  </si>
  <si>
    <t>5 x 1/0</t>
  </si>
  <si>
    <t>2 x 300</t>
  </si>
  <si>
    <t>6 x 1/0</t>
  </si>
  <si>
    <t>3 x 4/0</t>
  </si>
  <si>
    <t>5 x 2/0</t>
  </si>
  <si>
    <t>4 x 3/0</t>
  </si>
  <si>
    <t>2 x 350</t>
  </si>
  <si>
    <t>3 x 250</t>
  </si>
  <si>
    <t>6 x 2/0</t>
  </si>
  <si>
    <t>2 x 400</t>
  </si>
  <si>
    <t>5 x 3/0</t>
  </si>
  <si>
    <t>4 x 4/0</t>
  </si>
  <si>
    <t>3 x 300</t>
  </si>
  <si>
    <t>2 x 500</t>
  </si>
  <si>
    <t>4 x 250</t>
  </si>
  <si>
    <t>6 x 3/0</t>
  </si>
  <si>
    <t>3 x 350</t>
  </si>
  <si>
    <t>5 x 4/0</t>
  </si>
  <si>
    <t>≤2</t>
  </si>
  <si>
    <t>&gt;1100</t>
  </si>
  <si>
    <r>
      <t>cos(theta</t>
    </r>
    <r>
      <rPr>
        <sz val="12"/>
        <rFont val="Lucida Grande"/>
      </rPr>
      <t>)</t>
    </r>
  </si>
  <si>
    <t>sin(theta)</t>
  </si>
  <si>
    <t>1/phase</t>
  </si>
  <si>
    <t>Use</t>
  </si>
  <si>
    <t>Table 9</t>
  </si>
  <si>
    <t>conductors</t>
  </si>
  <si>
    <t>Some of the Ampacities of Table 310.15(B)(16) changed in 2011.  These changes are reflected in these tables</t>
  </si>
  <si>
    <t>KID 2%</t>
  </si>
  <si>
    <t>Al - Cond</t>
  </si>
  <si>
    <t>7/phase</t>
  </si>
  <si>
    <t>8/phase</t>
  </si>
  <si>
    <t>7x term</t>
  </si>
  <si>
    <t>8x term</t>
  </si>
  <si>
    <t>7x cond</t>
  </si>
  <si>
    <t>8x cond</t>
  </si>
  <si>
    <t>7x - Term</t>
  </si>
  <si>
    <t>8x - Term</t>
  </si>
  <si>
    <t>7x - cond</t>
  </si>
  <si>
    <t>8x - cond</t>
  </si>
  <si>
    <t>Kid 3%</t>
  </si>
  <si>
    <t>Kid 2%</t>
  </si>
  <si>
    <t>7x</t>
  </si>
  <si>
    <t>7 x 1/0</t>
  </si>
  <si>
    <t>7 x 2/0</t>
  </si>
  <si>
    <t>8x</t>
  </si>
  <si>
    <t>8 x 1/0</t>
  </si>
  <si>
    <t>8 x 2/0</t>
  </si>
  <si>
    <t>Over 3/0 through 350</t>
  </si>
  <si>
    <t>Over 350 through 600</t>
  </si>
  <si>
    <t>Over 600 through 1100</t>
  </si>
  <si>
    <t>9x</t>
  </si>
  <si>
    <t>Ungrounded conductors.  Sizes below 1/0 are not allowed to be paralleled so they are not included.  The smallest parallel set allowed is 2 x 1/0, or 211,200 cmils, which is above 3/0.  Therefore, the 'ranges' in table 250.66 don't start until the ungrounded conductors are larger than 3/0.  Values below the yellow highlighted region are all above 1100 kcmil, therefore the GEC is 3/0.</t>
  </si>
  <si>
    <t xml:space="preserve">This spreadsheet was created to compare different options for paralleling conductors. The Green cells are inputs; everything else are outputs. None of the cells are protected, so it may not be a bad idea to keep an original copy of this spreadsheet in case a cell is accidently changed. There are two sets of 8 columns each.  The left set shows the minimum conductor size for the selected conditions.  All calculations are based in 90deg conductor insulation.  If the distance given for the minimum conductor size is not adequate, the user may input a larger conductor size in the right set of 8 columns. </t>
  </si>
  <si>
    <t>Voltage drop calculations are based on Chapter 9 Table 9.  Vd = [R*cos(th) + X*sin(th)].  Table 9 does not include some of the conductor sizes, namely: 700, 800, 900, and anything over 1,000.  I didn't know this when I first started writing the spreadsheet so the left 8 columns include these conductor sizes.  If the formula picks one of these conductor sizes, most of the voltage drop cells simply go blank.</t>
  </si>
  <si>
    <t>The last worksheet "Parallel Conductors" is not used in this spreadsheet for any of the formula; yet.  It is used in figuring out what size GEC is needed in the case of parallel conductors.</t>
  </si>
  <si>
    <t>The spreadsheet has an allowance for continuous loading.  If a 100 Amp continuous load is used, the conductors are sized for 125 Amps, but the voltage drop is based on the 100 Amps.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</si>
</sst>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8" x14ac:knownFonts="1">
    <font>
      <sz val="12"/>
      <name val="Tahoma"/>
    </font>
    <font>
      <b/>
      <sz val="14"/>
      <name val="Tahoma"/>
    </font>
    <font>
      <b/>
      <sz val="12"/>
      <name val="Tahoma"/>
    </font>
    <font>
      <sz val="12"/>
      <name val="Lucida Grande"/>
    </font>
    <font>
      <sz val="9"/>
      <color indexed="81"/>
      <name val="Tahoma"/>
    </font>
    <font>
      <b/>
      <sz val="9"/>
      <color indexed="81"/>
      <name val="Tahoma"/>
    </font>
    <font>
      <u/>
      <sz val="12"/>
      <color theme="10"/>
      <name val="Tahoma"/>
    </font>
    <font>
      <u/>
      <sz val="12"/>
      <color theme="11"/>
      <name val="Tahoma"/>
    </font>
  </fonts>
  <fills count="6">
    <fill>
      <patternFill patternType="none"/>
    </fill>
    <fill>
      <patternFill patternType="gray125"/>
    </fill>
    <fill>
      <patternFill patternType="solid">
        <fgColor indexed="13"/>
        <bgColor indexed="64"/>
      </patternFill>
    </fill>
    <fill>
      <patternFill patternType="solid">
        <fgColor indexed="34"/>
        <bgColor indexed="64"/>
      </patternFill>
    </fill>
    <fill>
      <patternFill patternType="solid">
        <fgColor indexed="42"/>
        <bgColor indexed="64"/>
      </patternFill>
    </fill>
    <fill>
      <patternFill patternType="solid">
        <fgColor rgb="FFFFFF00"/>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style="medium">
        <color auto="1"/>
      </top>
      <bottom/>
      <diagonal/>
    </border>
    <border>
      <left/>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37">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45">
    <xf numFmtId="0" fontId="0" fillId="0" borderId="0" xfId="0"/>
    <xf numFmtId="0" fontId="0" fillId="0" borderId="0" xfId="0" applyAlignment="1">
      <alignment horizontal="center"/>
    </xf>
    <xf numFmtId="49" fontId="0" fillId="0" borderId="0" xfId="0" applyNumberFormat="1" applyAlignment="1">
      <alignment horizontal="center"/>
    </xf>
    <xf numFmtId="49" fontId="0" fillId="0" borderId="1" xfId="0" applyNumberForma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49" fontId="0" fillId="0" borderId="4" xfId="0" applyNumberFormat="1" applyBorder="1" applyAlignment="1">
      <alignment horizontal="center"/>
    </xf>
    <xf numFmtId="49" fontId="0" fillId="0" borderId="4" xfId="0" quotePrefix="1" applyNumberFormat="1" applyBorder="1" applyAlignment="1">
      <alignment horizontal="center"/>
    </xf>
    <xf numFmtId="49" fontId="0" fillId="0" borderId="5" xfId="0" applyNumberFormat="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49" fontId="0" fillId="0" borderId="3" xfId="0" applyNumberFormat="1" applyBorder="1" applyAlignment="1">
      <alignment horizontal="center"/>
    </xf>
    <xf numFmtId="3" fontId="0" fillId="0" borderId="4" xfId="0" applyNumberFormat="1" applyBorder="1" applyAlignment="1">
      <alignment horizontal="center"/>
    </xf>
    <xf numFmtId="49" fontId="0" fillId="0" borderId="6" xfId="0" applyNumberFormat="1" applyBorder="1" applyAlignment="1">
      <alignment horizontal="center"/>
    </xf>
    <xf numFmtId="4" fontId="0" fillId="0" borderId="4" xfId="0" applyNumberFormat="1" applyBorder="1" applyAlignment="1">
      <alignment horizontal="center"/>
    </xf>
    <xf numFmtId="49" fontId="0" fillId="0" borderId="6" xfId="0" quotePrefix="1" applyNumberFormat="1" applyBorder="1" applyAlignment="1">
      <alignment horizontal="center"/>
    </xf>
    <xf numFmtId="49" fontId="0" fillId="0" borderId="7" xfId="0" applyNumberFormat="1" applyBorder="1" applyAlignment="1">
      <alignment horizontal="center"/>
    </xf>
    <xf numFmtId="49" fontId="0" fillId="0" borderId="8" xfId="0" applyNumberFormat="1" applyBorder="1" applyAlignment="1">
      <alignment horizontal="center"/>
    </xf>
    <xf numFmtId="49" fontId="0" fillId="0" borderId="9" xfId="0" applyNumberFormat="1" applyBorder="1" applyAlignment="1">
      <alignment horizontal="center"/>
    </xf>
    <xf numFmtId="2" fontId="0" fillId="0" borderId="0" xfId="0" applyNumberFormat="1" applyAlignment="1">
      <alignment horizontal="center"/>
    </xf>
    <xf numFmtId="49" fontId="0" fillId="0" borderId="0" xfId="0" applyNumberFormat="1" applyAlignment="1">
      <alignment horizontal="left"/>
    </xf>
    <xf numFmtId="49" fontId="0" fillId="0" borderId="0" xfId="0" applyNumberFormat="1" applyBorder="1" applyAlignment="1">
      <alignment horizontal="center"/>
    </xf>
    <xf numFmtId="49" fontId="0" fillId="0" borderId="10" xfId="0" applyNumberFormat="1" applyBorder="1" applyAlignment="1">
      <alignment horizontal="center"/>
    </xf>
    <xf numFmtId="0" fontId="0" fillId="0" borderId="0" xfId="0" applyNumberFormat="1" applyAlignment="1">
      <alignment horizontal="left"/>
    </xf>
    <xf numFmtId="1" fontId="0" fillId="0" borderId="4" xfId="0" applyNumberFormat="1" applyBorder="1"/>
    <xf numFmtId="1" fontId="0" fillId="0" borderId="5" xfId="0" applyNumberFormat="1" applyBorder="1"/>
    <xf numFmtId="0" fontId="0" fillId="0" borderId="0" xfId="0" applyBorder="1" applyAlignment="1">
      <alignment horizontal="center"/>
    </xf>
    <xf numFmtId="0" fontId="0" fillId="0" borderId="11" xfId="0" applyBorder="1" applyAlignment="1">
      <alignment horizontal="center"/>
    </xf>
    <xf numFmtId="1" fontId="0" fillId="0" borderId="0" xfId="0" applyNumberFormat="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xf numFmtId="0" fontId="0" fillId="0" borderId="15" xfId="0" applyBorder="1"/>
    <xf numFmtId="0" fontId="0" fillId="0" borderId="16" xfId="0" applyBorder="1" applyAlignment="1">
      <alignment horizontal="center"/>
    </xf>
    <xf numFmtId="49" fontId="0" fillId="0" borderId="0" xfId="0" quotePrefix="1" applyNumberFormat="1" applyBorder="1" applyAlignment="1">
      <alignment horizontal="center"/>
    </xf>
    <xf numFmtId="0" fontId="0" fillId="0" borderId="0" xfId="0" applyBorder="1"/>
    <xf numFmtId="0" fontId="0" fillId="0" borderId="17" xfId="0" applyBorder="1"/>
    <xf numFmtId="0" fontId="0" fillId="0" borderId="11" xfId="0" applyBorder="1"/>
    <xf numFmtId="0" fontId="0" fillId="0" borderId="18" xfId="0" applyBorder="1" applyAlignment="1">
      <alignment horizontal="center"/>
    </xf>
    <xf numFmtId="0" fontId="0" fillId="0" borderId="19" xfId="0" applyBorder="1" applyAlignment="1">
      <alignment horizontal="center"/>
    </xf>
    <xf numFmtId="0" fontId="0" fillId="0" borderId="20" xfId="0" applyBorder="1"/>
    <xf numFmtId="0" fontId="0" fillId="0" borderId="14" xfId="0" applyBorder="1" applyAlignment="1">
      <alignment horizontal="center"/>
    </xf>
    <xf numFmtId="0" fontId="0" fillId="0" borderId="15" xfId="0" applyBorder="1" applyAlignment="1">
      <alignment horizontal="center"/>
    </xf>
    <xf numFmtId="0" fontId="0" fillId="0" borderId="21" xfId="0" applyBorder="1" applyAlignment="1">
      <alignment horizontal="center"/>
    </xf>
    <xf numFmtId="0" fontId="2" fillId="0" borderId="16" xfId="0" applyFont="1" applyFill="1" applyBorder="1" applyAlignment="1">
      <alignment horizontal="center"/>
    </xf>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0" fontId="2" fillId="0" borderId="11" xfId="0" applyFont="1" applyBorder="1" applyAlignment="1">
      <alignment horizontal="center"/>
    </xf>
    <xf numFmtId="0" fontId="2" fillId="0" borderId="0" xfId="0" applyFont="1" applyBorder="1" applyAlignment="1">
      <alignment horizontal="center"/>
    </xf>
    <xf numFmtId="0" fontId="2" fillId="2" borderId="13" xfId="0" applyFont="1" applyFill="1" applyBorder="1" applyAlignment="1">
      <alignment horizontal="center"/>
    </xf>
    <xf numFmtId="0" fontId="0" fillId="0" borderId="11" xfId="0" quotePrefix="1" applyBorder="1" applyAlignment="1">
      <alignment horizontal="center"/>
    </xf>
    <xf numFmtId="0" fontId="0" fillId="0" borderId="11" xfId="0" quotePrefix="1" applyNumberFormat="1" applyBorder="1" applyAlignment="1">
      <alignment horizontal="center"/>
    </xf>
    <xf numFmtId="0" fontId="0" fillId="0" borderId="0" xfId="0" quotePrefix="1" applyBorder="1" applyAlignment="1">
      <alignment horizontal="center"/>
    </xf>
    <xf numFmtId="0" fontId="0" fillId="0" borderId="17" xfId="0" applyBorder="1" applyAlignment="1">
      <alignment horizontal="center"/>
    </xf>
    <xf numFmtId="0" fontId="0" fillId="0" borderId="20" xfId="0" applyBorder="1" applyAlignment="1">
      <alignment horizontal="center"/>
    </xf>
    <xf numFmtId="0" fontId="0" fillId="0" borderId="17" xfId="0" quotePrefix="1" applyBorder="1" applyAlignment="1">
      <alignment horizontal="center"/>
    </xf>
    <xf numFmtId="0" fontId="0" fillId="2" borderId="12" xfId="0" applyFill="1" applyBorder="1" applyAlignment="1">
      <alignment horizontal="center"/>
    </xf>
    <xf numFmtId="0" fontId="1" fillId="0" borderId="21" xfId="0" applyFont="1" applyBorder="1" applyAlignment="1">
      <alignment horizontal="center"/>
    </xf>
    <xf numFmtId="165" fontId="0" fillId="0" borderId="0" xfId="0" applyNumberFormat="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2" xfId="0" applyBorder="1" applyAlignment="1">
      <alignment horizontal="center"/>
    </xf>
    <xf numFmtId="0" fontId="0" fillId="3" borderId="0" xfId="0" applyFill="1" applyBorder="1"/>
    <xf numFmtId="0" fontId="0" fillId="3" borderId="0" xfId="0" applyFill="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2" fontId="0" fillId="3" borderId="0" xfId="0" applyNumberFormat="1" applyFill="1" applyAlignment="1">
      <alignment horizontal="center"/>
    </xf>
    <xf numFmtId="0" fontId="0" fillId="0" borderId="0" xfId="0" applyFill="1" applyBorder="1"/>
    <xf numFmtId="166" fontId="0" fillId="0" borderId="0" xfId="0" applyNumberFormat="1" applyAlignment="1">
      <alignment horizontal="center"/>
    </xf>
    <xf numFmtId="3" fontId="0" fillId="0" borderId="12" xfId="0" applyNumberFormat="1" applyBorder="1" applyAlignment="1">
      <alignment horizontal="center"/>
    </xf>
    <xf numFmtId="3" fontId="0" fillId="0" borderId="13" xfId="0" applyNumberFormat="1" applyBorder="1" applyAlignment="1">
      <alignment horizontal="center"/>
    </xf>
    <xf numFmtId="0" fontId="0" fillId="0" borderId="0" xfId="0" applyFill="1" applyAlignment="1">
      <alignment horizontal="center"/>
    </xf>
    <xf numFmtId="164" fontId="0" fillId="0" borderId="0" xfId="0" applyNumberFormat="1" applyAlignment="1">
      <alignment horizontal="center"/>
    </xf>
    <xf numFmtId="0" fontId="2" fillId="0" borderId="0" xfId="0" applyFont="1"/>
    <xf numFmtId="3" fontId="0" fillId="0" borderId="15" xfId="0" applyNumberFormat="1" applyBorder="1" applyAlignment="1">
      <alignment horizontal="center"/>
    </xf>
    <xf numFmtId="0" fontId="0" fillId="3" borderId="21" xfId="0" applyFill="1" applyBorder="1" applyAlignment="1">
      <alignment horizontal="center"/>
    </xf>
    <xf numFmtId="0" fontId="2" fillId="3" borderId="15" xfId="0" applyFont="1" applyFill="1" applyBorder="1" applyAlignment="1">
      <alignment horizontal="center"/>
    </xf>
    <xf numFmtId="1" fontId="2" fillId="0" borderId="0" xfId="0" applyNumberFormat="1" applyFont="1" applyAlignment="1">
      <alignment horizontal="center"/>
    </xf>
    <xf numFmtId="164" fontId="2" fillId="0" borderId="0" xfId="0" applyNumberFormat="1" applyFont="1" applyAlignment="1">
      <alignment horizontal="center"/>
    </xf>
    <xf numFmtId="3" fontId="0" fillId="0" borderId="0" xfId="0" applyNumberFormat="1" applyAlignment="1">
      <alignment horizontal="center"/>
    </xf>
    <xf numFmtId="0" fontId="0" fillId="0" borderId="2" xfId="0" applyBorder="1"/>
    <xf numFmtId="2" fontId="0" fillId="0" borderId="10" xfId="0" applyNumberFormat="1" applyBorder="1" applyAlignment="1">
      <alignment horizontal="center"/>
    </xf>
    <xf numFmtId="0" fontId="0" fillId="4" borderId="28" xfId="0" applyFill="1" applyBorder="1"/>
    <xf numFmtId="0" fontId="0" fillId="4" borderId="29" xfId="0" applyFill="1" applyBorder="1" applyAlignment="1">
      <alignment horizontal="center"/>
    </xf>
    <xf numFmtId="0" fontId="0" fillId="4" borderId="23" xfId="0" applyFill="1" applyBorder="1"/>
    <xf numFmtId="0" fontId="0" fillId="4" borderId="25" xfId="0" applyFill="1" applyBorder="1" applyAlignment="1">
      <alignment horizontal="center"/>
    </xf>
    <xf numFmtId="0" fontId="2" fillId="3" borderId="17" xfId="0" applyFont="1" applyFill="1" applyBorder="1" applyAlignment="1">
      <alignment horizontal="center"/>
    </xf>
    <xf numFmtId="0" fontId="0" fillId="4" borderId="29" xfId="0" applyFill="1" applyBorder="1" applyAlignment="1" applyProtection="1">
      <alignment horizontal="center"/>
      <protection locked="0"/>
    </xf>
    <xf numFmtId="0" fontId="0" fillId="4" borderId="25" xfId="0" applyFill="1" applyBorder="1" applyAlignment="1" applyProtection="1">
      <alignment horizontal="center"/>
      <protection locked="0"/>
    </xf>
    <xf numFmtId="3" fontId="0" fillId="3" borderId="0" xfId="0" applyNumberFormat="1" applyFill="1" applyAlignment="1">
      <alignment horizontal="center"/>
    </xf>
    <xf numFmtId="49" fontId="0" fillId="0" borderId="21" xfId="0" quotePrefix="1" applyNumberFormat="1" applyBorder="1" applyAlignment="1">
      <alignment horizontal="center"/>
    </xf>
    <xf numFmtId="3" fontId="0" fillId="0" borderId="19" xfId="0" applyNumberFormat="1" applyBorder="1" applyAlignment="1">
      <alignment horizontal="center"/>
    </xf>
    <xf numFmtId="49" fontId="0" fillId="0" borderId="14" xfId="0" quotePrefix="1" applyNumberFormat="1" applyBorder="1" applyAlignment="1">
      <alignment horizontal="center"/>
    </xf>
    <xf numFmtId="49" fontId="0" fillId="0" borderId="14" xfId="0" applyNumberFormat="1" applyBorder="1" applyAlignment="1">
      <alignment horizontal="center"/>
    </xf>
    <xf numFmtId="49" fontId="0" fillId="0" borderId="15" xfId="0" applyNumberFormat="1" applyBorder="1" applyAlignment="1">
      <alignment horizontal="center"/>
    </xf>
    <xf numFmtId="49" fontId="0" fillId="0" borderId="21" xfId="0" applyNumberFormat="1" applyBorder="1" applyAlignment="1">
      <alignment horizontal="center"/>
    </xf>
    <xf numFmtId="0" fontId="0" fillId="0" borderId="16" xfId="0" quotePrefix="1" applyBorder="1" applyAlignment="1">
      <alignment horizontal="center"/>
    </xf>
    <xf numFmtId="49" fontId="0" fillId="0" borderId="15" xfId="0" quotePrefix="1" applyNumberFormat="1" applyBorder="1" applyAlignment="1">
      <alignment horizontal="center"/>
    </xf>
    <xf numFmtId="1" fontId="0" fillId="0" borderId="21" xfId="0" applyNumberFormat="1" applyBorder="1" applyAlignment="1">
      <alignment horizontal="center"/>
    </xf>
    <xf numFmtId="1" fontId="0" fillId="0" borderId="30" xfId="0" applyNumberFormat="1" applyBorder="1" applyAlignment="1">
      <alignment horizontal="center"/>
    </xf>
    <xf numFmtId="3" fontId="0" fillId="0" borderId="27" xfId="0" applyNumberFormat="1" applyBorder="1" applyAlignment="1">
      <alignment horizontal="center"/>
    </xf>
    <xf numFmtId="0" fontId="0" fillId="0" borderId="31" xfId="0" applyBorder="1" applyAlignment="1">
      <alignment horizontal="center"/>
    </xf>
    <xf numFmtId="0" fontId="2" fillId="0" borderId="21" xfId="0" applyFont="1" applyFill="1" applyBorder="1" applyAlignment="1">
      <alignment horizontal="center"/>
    </xf>
    <xf numFmtId="1" fontId="0" fillId="0" borderId="4" xfId="0" applyNumberFormat="1" applyBorder="1" applyAlignment="1">
      <alignment horizontal="center"/>
    </xf>
    <xf numFmtId="1" fontId="0" fillId="0" borderId="22" xfId="0" applyNumberFormat="1" applyBorder="1" applyAlignment="1">
      <alignment horizontal="center"/>
    </xf>
    <xf numFmtId="49" fontId="0" fillId="0" borderId="22" xfId="0" quotePrefix="1" applyNumberFormat="1" applyBorder="1" applyAlignment="1">
      <alignment horizontal="center"/>
    </xf>
    <xf numFmtId="49" fontId="0" fillId="0" borderId="22" xfId="0" applyNumberFormat="1" applyBorder="1" applyAlignment="1">
      <alignment horizontal="center"/>
    </xf>
    <xf numFmtId="0" fontId="0" fillId="0" borderId="0" xfId="0" applyAlignment="1">
      <alignment horizontal="left" vertical="top" wrapText="1"/>
    </xf>
    <xf numFmtId="0" fontId="0" fillId="0" borderId="0" xfId="0" applyAlignment="1">
      <alignment horizontal="center" vertical="center"/>
    </xf>
    <xf numFmtId="3" fontId="0" fillId="0" borderId="0" xfId="0" applyNumberFormat="1"/>
    <xf numFmtId="3" fontId="2" fillId="0" borderId="0" xfId="0" applyNumberFormat="1" applyFont="1" applyAlignment="1">
      <alignment horizontal="center"/>
    </xf>
    <xf numFmtId="0" fontId="2" fillId="4" borderId="0" xfId="0" applyFont="1" applyFill="1" applyBorder="1" applyAlignment="1">
      <alignment horizontal="center"/>
    </xf>
    <xf numFmtId="0" fontId="2" fillId="4" borderId="14" xfId="0" applyFont="1" applyFill="1" applyBorder="1" applyAlignment="1">
      <alignment horizontal="center"/>
    </xf>
    <xf numFmtId="3" fontId="0" fillId="0" borderId="17" xfId="0" applyNumberFormat="1" applyBorder="1" applyAlignment="1">
      <alignment horizontal="center"/>
    </xf>
    <xf numFmtId="0" fontId="2" fillId="4" borderId="12" xfId="0" applyFont="1" applyFill="1" applyBorder="1" applyAlignment="1">
      <alignment horizontal="center"/>
    </xf>
    <xf numFmtId="3" fontId="0" fillId="5" borderId="0" xfId="0" applyNumberFormat="1" applyFill="1" applyAlignment="1">
      <alignment horizontal="center"/>
    </xf>
    <xf numFmtId="0" fontId="0" fillId="0" borderId="20" xfId="0" quotePrefix="1" applyBorder="1" applyAlignment="1">
      <alignment horizontal="center"/>
    </xf>
    <xf numFmtId="3" fontId="0" fillId="0" borderId="0" xfId="0" applyNumberFormat="1" applyFill="1" applyAlignment="1">
      <alignment horizontal="center"/>
    </xf>
    <xf numFmtId="0" fontId="0" fillId="5" borderId="0" xfId="0" applyFill="1" applyAlignment="1">
      <alignment horizontal="center"/>
    </xf>
    <xf numFmtId="0" fontId="0" fillId="0" borderId="19"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10" fontId="0" fillId="0" borderId="0" xfId="0" applyNumberFormat="1" applyAlignment="1">
      <alignment horizontal="center"/>
    </xf>
    <xf numFmtId="0" fontId="1" fillId="0" borderId="19" xfId="0" applyFont="1" applyBorder="1" applyAlignment="1">
      <alignment horizontal="center" vertical="center" textRotation="90"/>
    </xf>
    <xf numFmtId="0" fontId="1" fillId="0" borderId="12"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0" fillId="0" borderId="20" xfId="0" applyBorder="1" applyAlignment="1">
      <alignment horizontal="center" vertical="center" wrapText="1"/>
    </xf>
    <xf numFmtId="0" fontId="2" fillId="4" borderId="11" xfId="0" applyFont="1" applyFill="1" applyBorder="1" applyAlignment="1">
      <alignment horizontal="center"/>
    </xf>
    <xf numFmtId="3" fontId="0" fillId="0" borderId="20" xfId="0" applyNumberFormat="1" applyBorder="1" applyAlignment="1">
      <alignment horizontal="center"/>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14">
    <dxf>
      <font>
        <color theme="1"/>
      </font>
      <fill>
        <patternFill patternType="solid">
          <fgColor indexed="64"/>
          <bgColor rgb="FFFFFF00"/>
        </patternFill>
      </fill>
    </dxf>
    <dxf>
      <font>
        <color theme="1"/>
      </font>
      <fill>
        <patternFill patternType="solid">
          <fgColor indexed="64"/>
          <bgColor theme="5" tint="0.39997558519241921"/>
        </patternFill>
      </fill>
    </dxf>
    <dxf>
      <font>
        <color theme="1"/>
      </font>
      <fill>
        <patternFill patternType="solid">
          <fgColor indexed="64"/>
          <bgColor rgb="FFFFFF00"/>
        </patternFill>
      </fill>
    </dxf>
    <dxf>
      <font>
        <color theme="1"/>
      </font>
      <fill>
        <patternFill patternType="solid">
          <fgColor indexed="64"/>
          <bgColor theme="5" tint="0.39997558519241921"/>
        </patternFill>
      </fill>
    </dxf>
    <dxf>
      <font>
        <color theme="1"/>
      </font>
      <fill>
        <patternFill patternType="solid">
          <fgColor indexed="64"/>
          <bgColor rgb="FFFFFF00"/>
        </patternFill>
      </fill>
    </dxf>
    <dxf>
      <font>
        <color theme="1"/>
      </font>
      <fill>
        <patternFill patternType="solid">
          <fgColor indexed="64"/>
          <bgColor theme="5" tint="0.39997558519241921"/>
        </patternFill>
      </fill>
    </dxf>
    <dxf>
      <font>
        <color theme="1"/>
      </font>
      <fill>
        <patternFill patternType="solid">
          <fgColor indexed="64"/>
          <bgColor rgb="FFFFFF00"/>
        </patternFill>
      </fill>
    </dxf>
    <dxf>
      <font>
        <color theme="1"/>
      </font>
      <fill>
        <patternFill patternType="solid">
          <fgColor indexed="64"/>
          <bgColor theme="5" tint="0.39997558519241921"/>
        </patternFill>
      </fill>
    </dxf>
    <dxf>
      <font>
        <color theme="1"/>
      </font>
      <fill>
        <patternFill patternType="solid">
          <fgColor indexed="64"/>
          <bgColor rgb="FFFFFF00"/>
        </patternFill>
      </fill>
    </dxf>
    <dxf>
      <font>
        <color theme="1"/>
      </font>
      <fill>
        <patternFill patternType="solid">
          <fgColor indexed="64"/>
          <bgColor theme="5" tint="0.39997558519241921"/>
        </patternFill>
      </fill>
    </dxf>
    <dxf>
      <font>
        <color theme="1"/>
      </font>
      <fill>
        <patternFill patternType="solid">
          <fgColor indexed="64"/>
          <bgColor rgb="FFFFFF00"/>
        </patternFill>
      </fill>
    </dxf>
    <dxf>
      <font>
        <color theme="1"/>
      </font>
      <fill>
        <patternFill patternType="solid">
          <fgColor indexed="64"/>
          <bgColor theme="5" tint="0.39997558519241921"/>
        </patternFill>
      </fill>
    </dxf>
    <dxf>
      <font>
        <color auto="1"/>
      </font>
      <fill>
        <patternFill patternType="solid">
          <fgColor indexed="64"/>
          <bgColor rgb="FFFFFF00"/>
        </patternFill>
      </fill>
    </dxf>
    <dxf>
      <font>
        <color theme="1"/>
      </font>
      <fill>
        <patternFill patternType="solid">
          <fgColor indexed="64"/>
          <bgColor theme="5" tint="0.3999755851924192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6"/>
  <sheetViews>
    <sheetView tabSelected="1" topLeftCell="J33" workbookViewId="0">
      <selection activeCell="R53" sqref="R53"/>
    </sheetView>
  </sheetViews>
  <sheetFormatPr baseColWidth="10" defaultRowHeight="15" x14ac:dyDescent="0"/>
  <cols>
    <col min="1" max="1" width="22.42578125" bestFit="1" customWidth="1"/>
    <col min="2" max="2" width="10.7109375" style="1"/>
    <col min="4" max="4" width="8" bestFit="1" customWidth="1"/>
    <col min="5" max="7" width="14.140625" style="1" bestFit="1" customWidth="1"/>
    <col min="8" max="10" width="14.140625" bestFit="1" customWidth="1"/>
    <col min="11" max="12" width="14.140625" customWidth="1"/>
    <col min="13" max="13" width="1.7109375" customWidth="1"/>
  </cols>
  <sheetData>
    <row r="1" spans="1:22" ht="16" thickBot="1">
      <c r="N1" s="38"/>
      <c r="O1" s="38"/>
      <c r="P1" s="38"/>
    </row>
    <row r="2" spans="1:22" ht="15" customHeight="1" thickBot="1">
      <c r="D2" s="131" t="s">
        <v>63</v>
      </c>
      <c r="E2" s="49" t="s">
        <v>163</v>
      </c>
      <c r="F2" s="47" t="s">
        <v>55</v>
      </c>
      <c r="G2" s="48" t="s">
        <v>56</v>
      </c>
      <c r="H2" s="49" t="s">
        <v>57</v>
      </c>
      <c r="I2" s="48" t="s">
        <v>58</v>
      </c>
      <c r="J2" s="49" t="s">
        <v>59</v>
      </c>
      <c r="K2" s="49" t="s">
        <v>170</v>
      </c>
      <c r="L2" s="49" t="s">
        <v>171</v>
      </c>
      <c r="N2" s="110" t="s">
        <v>163</v>
      </c>
      <c r="O2" s="49" t="s">
        <v>55</v>
      </c>
      <c r="P2" s="48" t="s">
        <v>56</v>
      </c>
      <c r="Q2" s="49" t="s">
        <v>57</v>
      </c>
      <c r="R2" s="48" t="s">
        <v>58</v>
      </c>
      <c r="S2" s="49" t="s">
        <v>59</v>
      </c>
      <c r="T2" s="48" t="s">
        <v>170</v>
      </c>
      <c r="U2" s="49" t="s">
        <v>171</v>
      </c>
    </row>
    <row r="3" spans="1:22" ht="18">
      <c r="A3" s="62" t="s">
        <v>101</v>
      </c>
      <c r="B3" s="36"/>
      <c r="D3" s="132"/>
      <c r="E3" s="32" t="s">
        <v>93</v>
      </c>
      <c r="F3" s="30" t="s">
        <v>93</v>
      </c>
      <c r="G3" s="32" t="s">
        <v>93</v>
      </c>
      <c r="H3" s="32" t="s">
        <v>93</v>
      </c>
      <c r="I3" s="32" t="s">
        <v>93</v>
      </c>
      <c r="J3" s="32" t="s">
        <v>93</v>
      </c>
      <c r="K3" s="32" t="s">
        <v>93</v>
      </c>
      <c r="L3" s="32" t="s">
        <v>93</v>
      </c>
      <c r="N3" s="44" t="s">
        <v>164</v>
      </c>
      <c r="O3" s="32" t="s">
        <v>164</v>
      </c>
      <c r="P3" s="29" t="s">
        <v>164</v>
      </c>
      <c r="Q3" s="32" t="s">
        <v>164</v>
      </c>
      <c r="R3" s="29" t="s">
        <v>164</v>
      </c>
      <c r="S3" s="32" t="s">
        <v>164</v>
      </c>
      <c r="T3" s="29" t="s">
        <v>164</v>
      </c>
      <c r="U3" s="32" t="s">
        <v>164</v>
      </c>
    </row>
    <row r="4" spans="1:22">
      <c r="A4" s="90" t="s">
        <v>25</v>
      </c>
      <c r="B4" s="91">
        <v>1200</v>
      </c>
      <c r="C4" s="88" t="s">
        <v>34</v>
      </c>
      <c r="D4" s="132"/>
      <c r="E4" s="32" t="s">
        <v>94</v>
      </c>
      <c r="F4" s="30" t="s">
        <v>94</v>
      </c>
      <c r="G4" s="32" t="s">
        <v>94</v>
      </c>
      <c r="H4" s="32" t="s">
        <v>94</v>
      </c>
      <c r="I4" s="32" t="s">
        <v>94</v>
      </c>
      <c r="J4" s="32" t="s">
        <v>94</v>
      </c>
      <c r="K4" s="32" t="s">
        <v>94</v>
      </c>
      <c r="L4" s="32" t="s">
        <v>94</v>
      </c>
      <c r="N4" s="44" t="s">
        <v>9</v>
      </c>
      <c r="O4" s="32" t="s">
        <v>9</v>
      </c>
      <c r="P4" s="29" t="s">
        <v>9</v>
      </c>
      <c r="Q4" s="32" t="s">
        <v>9</v>
      </c>
      <c r="R4" s="29" t="s">
        <v>9</v>
      </c>
      <c r="S4" s="32" t="s">
        <v>9</v>
      </c>
      <c r="T4" s="29" t="s">
        <v>9</v>
      </c>
      <c r="U4" s="32" t="s">
        <v>9</v>
      </c>
    </row>
    <row r="5" spans="1:22">
      <c r="A5" s="90" t="s">
        <v>43</v>
      </c>
      <c r="B5" s="91" t="s">
        <v>44</v>
      </c>
      <c r="C5" s="89">
        <f>IF(B5="Y",B4*1.25,B4)</f>
        <v>1200</v>
      </c>
      <c r="D5" s="132"/>
      <c r="E5" s="50" t="str">
        <f>VLOOKUP(C5,tables!$M5:$N61,2,TRUE)</f>
        <v>Over</v>
      </c>
      <c r="F5" s="52" t="str">
        <f>IF(C$5&lt;260.01,"",VLOOKUP(C$5/2,tables!$M5:$N61,2,TRUE))</f>
        <v>1500</v>
      </c>
      <c r="G5" s="53" t="str">
        <f>IF(C5&lt;390.01,"",VLOOKUP(C5/3,tables!$M5:$N61,2,TRUE))</f>
        <v>600</v>
      </c>
      <c r="H5" s="50" t="str">
        <f>IF(C5&lt;520.01,"",VLOOKUP(C5/4,tables!$M5:$N61,2,TRUE))</f>
        <v>350</v>
      </c>
      <c r="I5" s="53" t="str">
        <f>IF(C5&lt;650.01,"",VLOOKUP(C5/5,tables!$M5:$N61,2,TRUE))</f>
        <v>250</v>
      </c>
      <c r="J5" s="50" t="str">
        <f>IF(C5&lt;780.01,"",VLOOKUP(C5/6,tables!$M5:$N61,2,TRUE))</f>
        <v>3/0</v>
      </c>
      <c r="K5" s="50" t="str">
        <f>IF(C5&lt;910.01,"",VLOOKUP(C5/7,tables!$M5:$N61,2,TRUE))</f>
        <v>2/0</v>
      </c>
      <c r="L5" s="50" t="str">
        <f>IF(C5&lt;1040.01,"",VLOOKUP(C5/8,tables!$M5:$N61,2,TRUE))</f>
        <v>1/0</v>
      </c>
      <c r="N5" s="120" t="s">
        <v>17</v>
      </c>
      <c r="O5" s="122" t="s">
        <v>15</v>
      </c>
      <c r="P5" s="119" t="s">
        <v>15</v>
      </c>
      <c r="Q5" s="122" t="s">
        <v>12</v>
      </c>
      <c r="R5" s="119" t="s">
        <v>10</v>
      </c>
      <c r="S5" s="122" t="s">
        <v>6</v>
      </c>
      <c r="T5" s="119" t="s">
        <v>5</v>
      </c>
      <c r="U5" s="122" t="s">
        <v>4</v>
      </c>
    </row>
    <row r="6" spans="1:22" ht="16" thickBot="1">
      <c r="A6" s="90" t="s">
        <v>49</v>
      </c>
      <c r="B6" s="91">
        <v>30</v>
      </c>
      <c r="C6" s="1">
        <f>IF(B7="",IF(B6&lt;10,1.15,VLOOKUP(B6,tables!$J$5:$K$81,2,FALSE)),"")</f>
        <v>1</v>
      </c>
      <c r="D6" s="132"/>
      <c r="E6" s="33" t="str">
        <f>IF(cmil!A2=0,"",cmil!A2)</f>
        <v/>
      </c>
      <c r="F6" s="30">
        <f>IF(cmil!B2=0,"",cmil!B2)</f>
        <v>1500000</v>
      </c>
      <c r="G6" s="32">
        <f>IF(cmil!C2=0,"",cmil!C2)</f>
        <v>600000</v>
      </c>
      <c r="H6" s="32">
        <f>IF(cmil!D2=0,"",cmil!D2)</f>
        <v>350000</v>
      </c>
      <c r="I6" s="32">
        <f>IF(cmil!E2=0,"",cmil!E2)</f>
        <v>250000</v>
      </c>
      <c r="J6" s="32">
        <f>IF(cmil!F2=0,"",cmil!F2)</f>
        <v>167800</v>
      </c>
      <c r="K6" s="32">
        <f>IF(cmil!G2=0,"",cmil!G2)</f>
        <v>133100</v>
      </c>
      <c r="L6" s="32">
        <f>IF(cmil!H2=0,"",cmil!H2)</f>
        <v>105600</v>
      </c>
      <c r="N6" s="82">
        <f>cmil!AI2</f>
        <v>750000</v>
      </c>
      <c r="O6" s="78">
        <f>cmil!AJ2</f>
        <v>600000</v>
      </c>
      <c r="P6" s="121">
        <f>cmil!AK2</f>
        <v>600000</v>
      </c>
      <c r="Q6" s="78">
        <f>cmil!AL2</f>
        <v>350000</v>
      </c>
      <c r="R6" s="121">
        <f>cmil!AM2</f>
        <v>250000</v>
      </c>
      <c r="S6" s="78">
        <f>cmil!AN2</f>
        <v>167800</v>
      </c>
      <c r="T6" s="78">
        <f>cmil!AO2</f>
        <v>133100</v>
      </c>
      <c r="U6" s="78">
        <f>cmil!AP2</f>
        <v>105600</v>
      </c>
    </row>
    <row r="7" spans="1:22">
      <c r="A7" s="90" t="s">
        <v>50</v>
      </c>
      <c r="B7" s="91"/>
      <c r="C7" s="1" t="str">
        <f>IF(B6="",IF(B7&lt;50,1.15,VLOOKUP(B7,tables!$J$91:$K$226,2,FALSE)),"")</f>
        <v/>
      </c>
      <c r="D7" s="132"/>
      <c r="E7" s="46" t="s">
        <v>62</v>
      </c>
      <c r="F7" s="46" t="s">
        <v>62</v>
      </c>
      <c r="G7" s="42" t="s">
        <v>62</v>
      </c>
      <c r="H7" s="41" t="s">
        <v>62</v>
      </c>
      <c r="I7" s="42" t="s">
        <v>62</v>
      </c>
      <c r="J7" s="42" t="s">
        <v>62</v>
      </c>
      <c r="K7" s="42" t="s">
        <v>62</v>
      </c>
      <c r="L7" s="42" t="s">
        <v>62</v>
      </c>
      <c r="N7" s="44"/>
      <c r="O7" s="29"/>
      <c r="P7" s="29"/>
      <c r="Q7" s="29"/>
      <c r="R7" s="29"/>
      <c r="S7" s="29"/>
      <c r="T7" s="38"/>
      <c r="U7" s="40"/>
    </row>
    <row r="8" spans="1:22" ht="16" thickBot="1">
      <c r="A8" s="92" t="s">
        <v>26</v>
      </c>
      <c r="B8" s="93">
        <v>3</v>
      </c>
      <c r="C8" s="1">
        <f>VLOOKUP(B8,tables!$G$5:$H$44,2,FALSE)</f>
        <v>1</v>
      </c>
      <c r="D8" s="132"/>
      <c r="E8" s="44" t="s">
        <v>9</v>
      </c>
      <c r="F8" s="44" t="s">
        <v>9</v>
      </c>
      <c r="G8" s="32" t="s">
        <v>9</v>
      </c>
      <c r="H8" s="29" t="s">
        <v>9</v>
      </c>
      <c r="I8" s="32" t="s">
        <v>9</v>
      </c>
      <c r="J8" s="32" t="s">
        <v>9</v>
      </c>
      <c r="K8" s="32" t="s">
        <v>9</v>
      </c>
      <c r="L8" s="32" t="s">
        <v>9</v>
      </c>
      <c r="N8" s="44"/>
      <c r="O8" s="29"/>
      <c r="P8" s="29"/>
      <c r="Q8" s="29"/>
      <c r="R8" s="29"/>
      <c r="S8" s="29"/>
      <c r="T8" s="38"/>
      <c r="U8" s="40"/>
    </row>
    <row r="9" spans="1:22">
      <c r="B9" s="61" t="s">
        <v>45</v>
      </c>
      <c r="C9" s="22">
        <f>C5  / C8 /IF(C6="",C7,C6)</f>
        <v>1200</v>
      </c>
      <c r="D9" s="132"/>
      <c r="E9" s="51" t="str">
        <f>VLOOKUP($C$9,tables!$P5:$Q61,2,TRUE)</f>
        <v>Over</v>
      </c>
      <c r="F9" s="51" t="str">
        <f>IF($C9&lt;290,"",VLOOKUP($C9/2,tables!$P5:$Q61,2,TRUE))</f>
        <v>1000</v>
      </c>
      <c r="G9" s="50" t="str">
        <f>IF($C9&lt;435.01,"",VLOOKUP($C9/3,tables!$P5:$Q61,2,TRUE))</f>
        <v>500</v>
      </c>
      <c r="H9" s="53" t="str">
        <f>IF($C9&lt;580.01,"",VLOOKUP($C9/4,tables!$P5:$Q60,2,TRUE))</f>
        <v>300</v>
      </c>
      <c r="I9" s="50" t="str">
        <f>IF($C9&lt;725.01,"",VLOOKUP($C9/5,tables!$P5:$Q60,2,TRUE))</f>
        <v>4/0</v>
      </c>
      <c r="J9" s="50" t="str">
        <f>IF($C9&lt;870.01,"",VLOOKUP($C9/6,tables!$P5:$Q60,2,TRUE))</f>
        <v>3/0</v>
      </c>
      <c r="K9" s="50" t="str">
        <f>IF($C9&lt;1015.01,"",VLOOKUP($C9/7,tables!$P5:$Q60,2,TRUE))</f>
        <v>2/0</v>
      </c>
      <c r="L9" s="50" t="str">
        <f>IF($C9&lt;1160.01,"",VLOOKUP($C9/8,tables!$P5:$Q60,2,TRUE))</f>
        <v>1/0</v>
      </c>
      <c r="N9" s="44"/>
      <c r="O9" s="29"/>
      <c r="P9" s="29"/>
      <c r="Q9" s="29"/>
      <c r="R9" s="29"/>
      <c r="S9" s="29"/>
      <c r="T9" s="38"/>
      <c r="U9" s="40"/>
    </row>
    <row r="10" spans="1:22" ht="16" thickBot="1">
      <c r="B10" s="54">
        <f>VLOOKUP(C5,tables!S4:T69,2,TRUE)</f>
        <v>1200</v>
      </c>
      <c r="D10" s="132"/>
      <c r="E10" s="32" t="str">
        <f>IF(cmil!I2=0,"",cmil!I2)</f>
        <v/>
      </c>
      <c r="F10" s="32">
        <f>IF(cmil!J2=0,"",cmil!J2)</f>
        <v>1000000</v>
      </c>
      <c r="G10" s="32">
        <f>IF(cmil!K2=0,"",cmil!K2)</f>
        <v>500000</v>
      </c>
      <c r="H10" s="32">
        <f>IF(cmil!L2=0,"",cmil!L2)</f>
        <v>300000</v>
      </c>
      <c r="I10" s="32">
        <f>IF(cmil!M2=0,"",cmil!M2)</f>
        <v>211600</v>
      </c>
      <c r="J10" s="32">
        <f>IF(cmil!N2=0,"",cmil!N2)</f>
        <v>167800</v>
      </c>
      <c r="K10" s="32">
        <f>IF(cmil!O2=0,"",cmil!O2)</f>
        <v>133100</v>
      </c>
      <c r="L10" s="32">
        <f>IF(cmil!P2=0,"",cmil!P2)</f>
        <v>105600</v>
      </c>
      <c r="N10" s="44"/>
      <c r="O10" s="29"/>
      <c r="P10" s="29"/>
      <c r="Q10" s="29"/>
      <c r="R10" s="29"/>
      <c r="S10" s="29"/>
      <c r="T10" s="38"/>
      <c r="U10" s="40"/>
    </row>
    <row r="11" spans="1:22" ht="16" thickBot="1">
      <c r="C11" s="83" t="s">
        <v>92</v>
      </c>
      <c r="D11" s="132"/>
      <c r="E11" s="46" t="s">
        <v>66</v>
      </c>
      <c r="F11" s="42" t="s">
        <v>66</v>
      </c>
      <c r="G11" s="41" t="s">
        <v>66</v>
      </c>
      <c r="H11" s="42" t="s">
        <v>66</v>
      </c>
      <c r="I11" s="41" t="s">
        <v>66</v>
      </c>
      <c r="J11" s="42" t="s">
        <v>66</v>
      </c>
      <c r="K11" s="42" t="s">
        <v>66</v>
      </c>
      <c r="L11" s="42" t="s">
        <v>66</v>
      </c>
      <c r="N11" s="44"/>
      <c r="O11" s="29"/>
      <c r="P11" s="29"/>
      <c r="Q11" s="29"/>
      <c r="R11" s="29"/>
      <c r="S11" s="29"/>
      <c r="T11" s="38"/>
      <c r="U11" s="40"/>
    </row>
    <row r="12" spans="1:22" ht="19" thickBot="1">
      <c r="A12" s="62" t="s">
        <v>111</v>
      </c>
      <c r="B12" s="36"/>
      <c r="C12" s="94" t="str">
        <f>VLOOKUP(B$10,tables!Y$5:AA$41,2,FALSE)</f>
        <v>3/0</v>
      </c>
      <c r="D12" s="132"/>
      <c r="E12" s="51" t="str">
        <f t="shared" ref="E12:J12" si="0">IF(E6&gt;E10,E5,E9)</f>
        <v>Over</v>
      </c>
      <c r="F12" s="50" t="str">
        <f t="shared" si="0"/>
        <v>1500</v>
      </c>
      <c r="G12" s="53" t="str">
        <f t="shared" si="0"/>
        <v>600</v>
      </c>
      <c r="H12" s="50" t="str">
        <f t="shared" si="0"/>
        <v>350</v>
      </c>
      <c r="I12" s="53" t="str">
        <f t="shared" si="0"/>
        <v>250</v>
      </c>
      <c r="J12" s="50" t="str">
        <f t="shared" si="0"/>
        <v>3/0</v>
      </c>
      <c r="K12" s="50" t="str">
        <f>IF(K6&gt;K10,K5,K9)</f>
        <v>2/0</v>
      </c>
      <c r="L12" s="50" t="str">
        <f>IF(L6&gt;L10,L5,L9)</f>
        <v>1/0</v>
      </c>
      <c r="N12" s="44"/>
      <c r="O12" s="29"/>
      <c r="P12" s="29"/>
      <c r="Q12" s="29"/>
      <c r="R12" s="29"/>
      <c r="S12" s="29"/>
      <c r="T12" s="38"/>
      <c r="U12" s="40"/>
    </row>
    <row r="13" spans="1:22" ht="16" thickBot="1">
      <c r="A13" s="90" t="s">
        <v>107</v>
      </c>
      <c r="B13" s="95">
        <v>3</v>
      </c>
      <c r="D13" s="133"/>
      <c r="E13" s="82" t="str">
        <f t="shared" ref="E13:J13" si="1">IF(E6&gt;E10,E6,E10)</f>
        <v/>
      </c>
      <c r="F13" s="82">
        <f t="shared" si="1"/>
        <v>1500000</v>
      </c>
      <c r="G13" s="82">
        <f t="shared" si="1"/>
        <v>600000</v>
      </c>
      <c r="H13" s="82">
        <f t="shared" si="1"/>
        <v>350000</v>
      </c>
      <c r="I13" s="82">
        <f t="shared" si="1"/>
        <v>250000</v>
      </c>
      <c r="J13" s="78">
        <f t="shared" si="1"/>
        <v>167800</v>
      </c>
      <c r="K13" s="78">
        <f>IF(K6&gt;K10,K6,K10)</f>
        <v>133100</v>
      </c>
      <c r="L13" s="78">
        <f>IF(L6&gt;L10,L6,L10)</f>
        <v>105600</v>
      </c>
      <c r="N13" s="45"/>
      <c r="O13" s="58"/>
      <c r="P13" s="58"/>
      <c r="Q13" s="58"/>
      <c r="R13" s="58"/>
      <c r="S13" s="58"/>
      <c r="T13" s="39"/>
      <c r="U13" s="43"/>
    </row>
    <row r="14" spans="1:22">
      <c r="A14" s="90" t="s">
        <v>108</v>
      </c>
      <c r="B14" s="95" t="s">
        <v>102</v>
      </c>
      <c r="D14" t="s">
        <v>124</v>
      </c>
      <c r="E14" s="87">
        <f>IF(E13="",0,E13)</f>
        <v>0</v>
      </c>
      <c r="F14" s="87">
        <f>IF(F13="",0,F13 * 2)</f>
        <v>3000000</v>
      </c>
      <c r="G14" s="87">
        <f>IF(G13="",0,G13 * 3)</f>
        <v>1800000</v>
      </c>
      <c r="H14" s="87">
        <f>IF(H13="",0,H13 * 4)</f>
        <v>1400000</v>
      </c>
      <c r="I14" s="87">
        <f>IF(I13="",0,I13 * 5)</f>
        <v>1250000</v>
      </c>
      <c r="J14" s="87">
        <f>IF(J13="",0,J13 * 6)</f>
        <v>1006800</v>
      </c>
      <c r="K14" s="87">
        <f>IF(K13="",0,K13 * 7)</f>
        <v>931700</v>
      </c>
      <c r="L14" s="87">
        <f>IF(L13="",0,L13 * 8)</f>
        <v>844800</v>
      </c>
      <c r="N14" s="87" t="str">
        <f>IF(OR(E12="Over",N6&lt;E14),"",N6)</f>
        <v/>
      </c>
      <c r="O14" s="87" t="str">
        <f>IF(OR(F12="Over",2*O6&lt;F14),"",2*O6)</f>
        <v/>
      </c>
      <c r="P14" s="87">
        <f>IF(OR(G12="Over",3*P6&lt;G14),"",3*P6)</f>
        <v>1800000</v>
      </c>
      <c r="Q14" s="87">
        <f>IF(OR(H12="Over",4*Q6&lt;H14),"",4*Q6)</f>
        <v>1400000</v>
      </c>
      <c r="R14" s="87">
        <f>IF(OR(I12="Over",5*R6&lt;I14),"",5*R6)</f>
        <v>1250000</v>
      </c>
      <c r="S14" s="87">
        <f>IF(OR(J12="Over",6*S6&lt;J14),"",6*S6)</f>
        <v>1006800</v>
      </c>
      <c r="T14" s="87">
        <f>IF(OR(K12="Over",7*T6&lt;K14),"",7*T6)</f>
        <v>931700</v>
      </c>
      <c r="U14" s="87">
        <f>IF(OR(L12="Over",8*U6&lt;L14),"",8*U6)</f>
        <v>844800</v>
      </c>
      <c r="V14" t="s">
        <v>124</v>
      </c>
    </row>
    <row r="15" spans="1:22">
      <c r="A15" s="90" t="s">
        <v>110</v>
      </c>
      <c r="B15" s="95">
        <v>95</v>
      </c>
      <c r="D15" t="s">
        <v>120</v>
      </c>
      <c r="E15" s="63" t="str">
        <f>IF(OR(E13="",E13="Over",E13&gt;1240000,E13=700000,E13=800000,E13=900000),"",VLOOKUP(E13,'Table 9'!$B$5:$D$28,IF($B$14="Steel",3,2),FALSE))</f>
        <v/>
      </c>
      <c r="F15" s="63" t="str">
        <f>IF(OR(F13="",F13="Over",F13&gt;1240000,F13=700000,F13=800000,F13=900000),"",VLOOKUP(F13,'Table 9'!$B$5:$D$28,IF($B$14="Steel",3,2),FALSE))</f>
        <v/>
      </c>
      <c r="G15" s="63">
        <f>IF(OR(G13="",G13="Over",G13&gt;1240000,G13=700000,G13=800000,G13=900000),"",VLOOKUP(G13,'Table 9'!$B$5:$D$28,IF($B$14="Steel",3,2),FALSE))</f>
        <v>4.8000000000000001E-2</v>
      </c>
      <c r="H15" s="63">
        <f>IF(OR(H13="",H13="Over",H13&gt;1240000,H13=700000,H13=800000,H13=900000),"",VLOOKUP(H13,'Table 9'!$B$5:$D$28,IF($B$14="Steel",3,2),FALSE))</f>
        <v>0.05</v>
      </c>
      <c r="I15" s="63">
        <f>IF(OR(I13="",I13="Over",I13&gt;1240000,I13=700000,I13=800000,I13=900000),"",VLOOKUP(I13,'Table 9'!$B$5:$D$28,IF($B$14="Steel",3,2),FALSE))</f>
        <v>5.1999999999999998E-2</v>
      </c>
      <c r="J15" s="63">
        <f>IF(OR(J13="",J13="Over",J13&gt;1240000,J13=700000,J13=800000,J13=900000),"",VLOOKUP(J13,'Table 9'!$B$5:$D$28,IF($B$14="Steel",3,2),FALSE))</f>
        <v>5.1999999999999998E-2</v>
      </c>
      <c r="K15" s="63">
        <f>IF(OR(K13="",K13="Over",K13&gt;1240000,K13=700000,K13=800000,K13=900000),"",VLOOKUP(K13,'Table 9'!$B$5:$D$28,IF($B$14="Steel",3,2),FALSE))</f>
        <v>5.3999999999999999E-2</v>
      </c>
      <c r="L15" s="63">
        <f>IF(OR(L13="",L13="Over",L13&gt;1240000,L13=700000,L13=800000,L13=900000),"",VLOOKUP(L13,'Table 9'!$B$5:$D$28,IF($B$14="Steel",3,2),FALSE))</f>
        <v>5.5E-2</v>
      </c>
      <c r="N15" s="63" t="str">
        <f>IF(OR(N14="",N6="Over",N6&gt;1240000,N6=700000,N6=800000,N6=900000),"",VLOOKUP(N6,'Table 9'!$B$5:$D$28,IF($B$14="Steel",3,2),FALSE))</f>
        <v/>
      </c>
      <c r="O15" s="63" t="str">
        <f>IF(OR(O14="",O6="Over",O6&gt;1240000,O6=700000,O6=800000,O6=900000),"",VLOOKUP(O6,'Table 9'!$B$5:$D$28,IF($B$14="Steel",3,2),FALSE))</f>
        <v/>
      </c>
      <c r="P15" s="63">
        <f>IF(OR(P14="",P6="Over",P6&gt;1240000,P6=700000,P6=800000,P6=900000),"",VLOOKUP(P6,'Table 9'!$B$5:$D$28,IF($B$14="Steel",3,2),FALSE))</f>
        <v>4.8000000000000001E-2</v>
      </c>
      <c r="Q15" s="63">
        <f>IF(OR(Q14="",Q6="Over",Q6&gt;1240000,Q6=700000,Q6=800000,Q6=900000),"",VLOOKUP(Q6,'Table 9'!$B$5:$D$28,IF($B$14="Steel",3,2),FALSE))</f>
        <v>0.05</v>
      </c>
      <c r="R15" s="63">
        <f>IF(OR(R14="",R6="Over",R6&gt;1240000,R6=700000,R6=800000,R6=900000),"",VLOOKUP(R6,'Table 9'!$B$5:$D$28,IF($B$14="Steel",3,2),FALSE))</f>
        <v>5.1999999999999998E-2</v>
      </c>
      <c r="S15" s="63">
        <f>IF(OR(S14="",S6="Over",S6&gt;1240000,S6=700000,S6=800000,S6=900000),"",VLOOKUP(S6,'Table 9'!$B$5:$D$28,IF($B$14="Steel",3,2),FALSE))</f>
        <v>5.1999999999999998E-2</v>
      </c>
      <c r="T15" s="63">
        <f>IF(OR(T14="",T6="Over",T6&gt;1240000,T6=700000,T6=800000,T6=900000),"",VLOOKUP(T6,'Table 9'!$B$5:$D$28,IF($B$14="Steel",3,2),FALSE))</f>
        <v>5.3999999999999999E-2</v>
      </c>
      <c r="U15" s="63">
        <f>IF(OR(U14="",U6="Over",U6&gt;1240000,U6=700000,U6=800000,U6=900000),"",VLOOKUP(U6,'Table 9'!$B$5:$D$28,IF($B$14="Steel",3,2),FALSE))</f>
        <v>5.5E-2</v>
      </c>
      <c r="V15" t="s">
        <v>120</v>
      </c>
    </row>
    <row r="16" spans="1:22" ht="16" thickBot="1">
      <c r="A16" s="92" t="s">
        <v>112</v>
      </c>
      <c r="B16" s="96">
        <v>480</v>
      </c>
      <c r="D16" t="s">
        <v>121</v>
      </c>
      <c r="E16" s="63" t="str">
        <f>IF(OR(E13="",E15=""),"",VLOOKUP(E13,'Table 9'!$B$5:$G$28,IF($B$14="steel",6,IF($B$14="Aluminum",5,4)),FALSE))</f>
        <v/>
      </c>
      <c r="F16" s="63" t="str">
        <f>IF(OR(F13="",F15=""),"",VLOOKUP(F13,'Table 9'!$B$5:$G$28,IF($B$14="steel",6,IF($B$14="Aluminum",5,4)),FALSE))</f>
        <v/>
      </c>
      <c r="G16" s="63">
        <f>IF(OR(G13="",G15=""),"",VLOOKUP(G13,'Table 9'!$B$5:$G$28,IF($B$14="steel",6,IF($B$14="Aluminum",5,4)),FALSE))</f>
        <v>2.5000000000000001E-2</v>
      </c>
      <c r="H16" s="63">
        <f>IF(OR(H13="",H15=""),"",VLOOKUP(H13,'Table 9'!$B$5:$G$28,IF($B$14="steel",6,IF($B$14="Aluminum",5,4)),FALSE))</f>
        <v>3.9E-2</v>
      </c>
      <c r="I16" s="63">
        <f>IF(OR(I13="",I15=""),"",VLOOKUP(I13,'Table 9'!$B$5:$G$28,IF($B$14="steel",6,IF($B$14="Aluminum",5,4)),FALSE))</f>
        <v>5.3999999999999999E-2</v>
      </c>
      <c r="J16" s="63">
        <f>IF(OR(J13="",J15=""),"",VLOOKUP(J13,'Table 9'!$B$5:$G$28,IF($B$14="steel",6,IF($B$14="Aluminum",5,4)),FALSE))</f>
        <v>7.9000000000000001E-2</v>
      </c>
      <c r="K16" s="63">
        <f>IF(OR(K13="",K15=""),"",VLOOKUP(K13,'Table 9'!$B$5:$G$28,IF($B$14="steel",6,IF($B$14="Aluminum",5,4)),FALSE))</f>
        <v>0.1</v>
      </c>
      <c r="L16" s="63">
        <f>IF(OR(L13="",L15=""),"",VLOOKUP(L13,'Table 9'!$B$5:$G$28,IF($B$14="steel",6,IF($B$14="Aluminum",5,4)),FALSE))</f>
        <v>0.12</v>
      </c>
      <c r="N16" s="63" t="str">
        <f>IF(OR(N14="",N6=""),"",VLOOKUP(N6,'Table 9'!$B$5:$G$28,IF($B$14="steel",6,IF($B$14="Aluminum",5,4)),FALSE))</f>
        <v/>
      </c>
      <c r="O16" s="63" t="str">
        <f>IF(OR(O14="",O6=""),"",VLOOKUP(O6,'Table 9'!$B$5:$G$28,IF($B$14="steel",6,IF($B$14="Aluminum",5,4)),FALSE))</f>
        <v/>
      </c>
      <c r="P16" s="63">
        <f>IF(OR(P14="",P6=""),"",VLOOKUP(P6,'Table 9'!$B$5:$G$28,IF($B$14="steel",6,IF($B$14="Aluminum",5,4)),FALSE))</f>
        <v>2.5000000000000001E-2</v>
      </c>
      <c r="Q16" s="63">
        <f>IF(OR(Q14="",Q6=""),"",VLOOKUP(Q6,'Table 9'!$B$5:$G$28,IF($B$14="steel",6,IF($B$14="Aluminum",5,4)),FALSE))</f>
        <v>3.9E-2</v>
      </c>
      <c r="R16" s="63">
        <f>IF(OR(R14="",R6=""),"",VLOOKUP(R6,'Table 9'!$B$5:$G$28,IF($B$14="steel",6,IF($B$14="Aluminum",5,4)),FALSE))</f>
        <v>5.3999999999999999E-2</v>
      </c>
      <c r="S16" s="63">
        <f>IF(OR(S14="",S6=""),"",VLOOKUP(S6,'Table 9'!$B$5:$G$28,IF($B$14="steel",6,IF($B$14="Aluminum",5,4)),FALSE))</f>
        <v>7.9000000000000001E-2</v>
      </c>
      <c r="T16" s="63">
        <f>IF(OR(T14="",T6=""),"",VLOOKUP(T6,'Table 9'!$B$5:$G$28,IF($B$14="steel",6,IF($B$14="Aluminum",5,4)),FALSE))</f>
        <v>0.1</v>
      </c>
      <c r="U16" s="63">
        <f>IF(OR(U14="",U6=""),"",VLOOKUP(U6,'Table 9'!$B$5:$G$28,IF($B$14="steel",6,IF($B$14="Aluminum",5,4)),FALSE))</f>
        <v>0.12</v>
      </c>
      <c r="V16" t="s">
        <v>121</v>
      </c>
    </row>
    <row r="17" spans="1:22" ht="15" customHeight="1">
      <c r="A17" s="67" t="s">
        <v>1</v>
      </c>
      <c r="B17" s="68">
        <f>B16 *0.02</f>
        <v>9.6</v>
      </c>
      <c r="D17" t="s">
        <v>119</v>
      </c>
      <c r="E17" s="76" t="str">
        <f t="shared" ref="E17:L17" si="2">IF(E15="","",$B$21*E16 + $B$22*E15)</f>
        <v/>
      </c>
      <c r="F17" s="76" t="str">
        <f t="shared" si="2"/>
        <v/>
      </c>
      <c r="G17" s="76">
        <f t="shared" si="2"/>
        <v>3.8737995196156158E-2</v>
      </c>
      <c r="H17" s="76">
        <f t="shared" si="2"/>
        <v>5.2662494995995998E-2</v>
      </c>
      <c r="I17" s="76">
        <f t="shared" si="2"/>
        <v>6.7536994795835831E-2</v>
      </c>
      <c r="J17" s="76">
        <f t="shared" si="2"/>
        <v>9.1286994795835824E-2</v>
      </c>
      <c r="K17" s="76">
        <f t="shared" si="2"/>
        <v>0.11186149459567568</v>
      </c>
      <c r="L17" s="76">
        <f t="shared" si="2"/>
        <v>0.1311737444955956</v>
      </c>
      <c r="N17" s="76" t="str">
        <f>IF(N15="","",$B$21*N16 + $B$22*N15)</f>
        <v/>
      </c>
      <c r="O17" s="76" t="str">
        <f t="shared" ref="O17:U17" si="3">IF(O14="","",$B$21*O16 + $B$22*O15)</f>
        <v/>
      </c>
      <c r="P17" s="76">
        <f t="shared" si="3"/>
        <v>3.8737995196156158E-2</v>
      </c>
      <c r="Q17" s="76">
        <f t="shared" si="3"/>
        <v>5.2662494995995998E-2</v>
      </c>
      <c r="R17" s="76">
        <f t="shared" si="3"/>
        <v>6.7536994795835831E-2</v>
      </c>
      <c r="S17" s="76">
        <f t="shared" si="3"/>
        <v>9.1286994795835824E-2</v>
      </c>
      <c r="T17" s="76">
        <f t="shared" si="3"/>
        <v>0.11186149459567568</v>
      </c>
      <c r="U17" s="76">
        <f t="shared" si="3"/>
        <v>0.1311737444955956</v>
      </c>
      <c r="V17" t="s">
        <v>119</v>
      </c>
    </row>
    <row r="18" spans="1:22">
      <c r="A18" s="67" t="s">
        <v>113</v>
      </c>
      <c r="B18" s="68">
        <f>B16 * 0.03</f>
        <v>14.399999999999999</v>
      </c>
      <c r="D18" t="s">
        <v>122</v>
      </c>
      <c r="E18" s="31" t="str">
        <f>IF(E15="","",$B$4*E17*IF($B$13=1,2,SQRT(3)))</f>
        <v/>
      </c>
      <c r="F18" s="31" t="str">
        <f>IF(F15="","",$B$4*F17*IF($B$13=1,2,SQRT(3))/2)</f>
        <v/>
      </c>
      <c r="G18" s="31">
        <f>IF(G15="","",$B$4*G17*IF($B$13=1,2,SQRT(3)) / 3)</f>
        <v>26.838470345240623</v>
      </c>
      <c r="H18" s="31">
        <f>IF(H15="","",$B$4*H17*IF($B$13=1,2,SQRT(3)) / 4)</f>
        <v>27.364235095922048</v>
      </c>
      <c r="I18" s="31">
        <f>IF(I15="","",$B$4*I17*IF($B$13=1,2,SQRT(3)) / 5)</f>
        <v>28.074601530456601</v>
      </c>
      <c r="J18" s="31">
        <f>IF(J15="","",$B$4*J17*IF($B$13=1,2,SQRT(3)) / 6)</f>
        <v>31.622742611332665</v>
      </c>
      <c r="K18" s="31">
        <f>IF(K15="","",$B$4*K17*IF($B$13=1,2,SQRT(3)) / 7)</f>
        <v>33.214250065766002</v>
      </c>
      <c r="L18" s="31">
        <f>IF(L15="","",$B$4*L17*IF($B$13=1,2,SQRT(3)) / 8)</f>
        <v>34.079938512814486</v>
      </c>
      <c r="N18" s="31" t="str">
        <f>IF(N14="","",$B$4*N17*IF($B$13=1,2,SQRT(3)))</f>
        <v/>
      </c>
      <c r="O18" s="31" t="str">
        <f>IF(O14="","",$B$4*O17*IF($B$13=1,2,SQRT(3))/2)</f>
        <v/>
      </c>
      <c r="P18" s="31">
        <f>IF(P14="","",$B$4*P17*IF($B$13=1,2,SQRT(3)) / 3)</f>
        <v>26.838470345240623</v>
      </c>
      <c r="Q18" s="31">
        <f>IF(Q14="","",$B$4*Q17*IF($B$13=1,2,SQRT(3)) / 4)</f>
        <v>27.364235095922048</v>
      </c>
      <c r="R18" s="31">
        <f>IF(R14="","",$B$4*R17*IF($B$13=1,2,SQRT(3)) / 5)</f>
        <v>28.074601530456601</v>
      </c>
      <c r="S18" s="31">
        <f>IF(S14="","",$B$4*S17*IF($B$13=1,2,SQRT(3)) / 6)</f>
        <v>31.622742611332665</v>
      </c>
      <c r="T18" s="31">
        <f>IF(T14="","",$B$4*T17*IF($B$13=1,2,SQRT(3)) / 7)</f>
        <v>33.214250065766002</v>
      </c>
      <c r="U18" s="31">
        <f>IF(U14="","",$B$4*U17*IF($B$13=1,2,SQRT(3)) / 8)</f>
        <v>34.079938512814486</v>
      </c>
      <c r="V18" t="s">
        <v>122</v>
      </c>
    </row>
    <row r="19" spans="1:22">
      <c r="A19" s="75"/>
      <c r="B19" s="79"/>
      <c r="D19" s="81" t="s">
        <v>2</v>
      </c>
      <c r="E19" s="118" t="str">
        <f t="shared" ref="E19:L19" si="4">IF(E15="","",$B$17/E18* 1000)</f>
        <v/>
      </c>
      <c r="F19" s="118" t="str">
        <f t="shared" si="4"/>
        <v/>
      </c>
      <c r="G19" s="118">
        <f t="shared" si="4"/>
        <v>357.69549741505324</v>
      </c>
      <c r="H19" s="118">
        <f t="shared" si="4"/>
        <v>350.82288857511821</v>
      </c>
      <c r="I19" s="118">
        <f t="shared" si="4"/>
        <v>341.94608210504731</v>
      </c>
      <c r="J19" s="118">
        <f t="shared" si="4"/>
        <v>303.57898168388596</v>
      </c>
      <c r="K19" s="118">
        <f t="shared" si="4"/>
        <v>289.03256827992453</v>
      </c>
      <c r="L19" s="118">
        <f t="shared" si="4"/>
        <v>281.69064907174874</v>
      </c>
      <c r="M19" s="117"/>
      <c r="N19" s="118" t="str">
        <f>IF(N15="","",$B$17/N18* 1000)</f>
        <v/>
      </c>
      <c r="O19" s="118" t="str">
        <f t="shared" ref="O19:U19" si="5">IF(O14="","",$B$17/O18* 1000)</f>
        <v/>
      </c>
      <c r="P19" s="118">
        <f t="shared" si="5"/>
        <v>357.69549741505324</v>
      </c>
      <c r="Q19" s="118">
        <f t="shared" si="5"/>
        <v>350.82288857511821</v>
      </c>
      <c r="R19" s="118">
        <f t="shared" si="5"/>
        <v>341.94608210504731</v>
      </c>
      <c r="S19" s="118">
        <f t="shared" si="5"/>
        <v>303.57898168388596</v>
      </c>
      <c r="T19" s="118">
        <f t="shared" si="5"/>
        <v>289.03256827992453</v>
      </c>
      <c r="U19" s="118">
        <f t="shared" si="5"/>
        <v>281.69064907174874</v>
      </c>
      <c r="V19" s="81" t="s">
        <v>2</v>
      </c>
    </row>
    <row r="20" spans="1:22">
      <c r="A20" s="75"/>
      <c r="B20" s="79"/>
      <c r="D20" s="81" t="s">
        <v>125</v>
      </c>
      <c r="E20" s="118" t="str">
        <f t="shared" ref="E20:L20" si="6">IF(E15="","",$B$18/E18* 1000)</f>
        <v/>
      </c>
      <c r="F20" s="118" t="str">
        <f t="shared" si="6"/>
        <v/>
      </c>
      <c r="G20" s="118">
        <f t="shared" si="6"/>
        <v>536.54324612257972</v>
      </c>
      <c r="H20" s="118">
        <f t="shared" si="6"/>
        <v>526.23433286267732</v>
      </c>
      <c r="I20" s="118">
        <f t="shared" si="6"/>
        <v>512.91912315757088</v>
      </c>
      <c r="J20" s="118">
        <f t="shared" si="6"/>
        <v>455.36847252582896</v>
      </c>
      <c r="K20" s="118">
        <f t="shared" si="6"/>
        <v>433.54885241988677</v>
      </c>
      <c r="L20" s="118">
        <f t="shared" si="6"/>
        <v>422.53597360762308</v>
      </c>
      <c r="M20" s="117"/>
      <c r="N20" s="118" t="str">
        <f t="shared" ref="N20:S20" si="7">IF(N14="","",$B$18/N18* 1000)</f>
        <v/>
      </c>
      <c r="O20" s="118" t="str">
        <f t="shared" si="7"/>
        <v/>
      </c>
      <c r="P20" s="118">
        <f t="shared" si="7"/>
        <v>536.54324612257972</v>
      </c>
      <c r="Q20" s="118">
        <f t="shared" si="7"/>
        <v>526.23433286267732</v>
      </c>
      <c r="R20" s="118">
        <f t="shared" si="7"/>
        <v>512.91912315757088</v>
      </c>
      <c r="S20" s="118">
        <f t="shared" si="7"/>
        <v>455.36847252582896</v>
      </c>
      <c r="T20" s="118">
        <f t="shared" ref="T20:U20" si="8">IF(T14="","",$B$18/T18* 1000)</f>
        <v>433.54885241988677</v>
      </c>
      <c r="U20" s="118">
        <f t="shared" si="8"/>
        <v>422.53597360762308</v>
      </c>
      <c r="V20" s="81" t="s">
        <v>125</v>
      </c>
    </row>
    <row r="21" spans="1:22" ht="16" customHeight="1">
      <c r="A21" s="67" t="s">
        <v>161</v>
      </c>
      <c r="B21" s="68">
        <f>B15/100</f>
        <v>0.95</v>
      </c>
      <c r="D21" t="s">
        <v>123</v>
      </c>
      <c r="E21" s="80" t="str">
        <f t="shared" ref="E21:L21" si="9">IF(E15="","",E13*E17/1000)</f>
        <v/>
      </c>
      <c r="F21" s="80" t="str">
        <f t="shared" si="9"/>
        <v/>
      </c>
      <c r="G21" s="80">
        <f t="shared" si="9"/>
        <v>23.242797117693694</v>
      </c>
      <c r="H21" s="80">
        <f t="shared" si="9"/>
        <v>18.431873248598599</v>
      </c>
      <c r="I21" s="80">
        <f t="shared" si="9"/>
        <v>16.884248698958956</v>
      </c>
      <c r="J21" s="80">
        <f t="shared" si="9"/>
        <v>15.317957726741252</v>
      </c>
      <c r="K21" s="80">
        <f t="shared" si="9"/>
        <v>14.888764930684433</v>
      </c>
      <c r="L21" s="80">
        <f t="shared" si="9"/>
        <v>13.851947418734895</v>
      </c>
      <c r="N21" s="80" t="str">
        <f>IF(N15="","",N6*N17/1000)</f>
        <v/>
      </c>
      <c r="O21" s="80" t="str">
        <f t="shared" ref="O21:U21" si="10">IF(O14="","",O6*O17/1000)</f>
        <v/>
      </c>
      <c r="P21" s="80">
        <f t="shared" si="10"/>
        <v>23.242797117693694</v>
      </c>
      <c r="Q21" s="80">
        <f t="shared" si="10"/>
        <v>18.431873248598599</v>
      </c>
      <c r="R21" s="80">
        <f t="shared" si="10"/>
        <v>16.884248698958956</v>
      </c>
      <c r="S21" s="80">
        <f t="shared" si="10"/>
        <v>15.317957726741252</v>
      </c>
      <c r="T21" s="80">
        <f t="shared" si="10"/>
        <v>14.888764930684433</v>
      </c>
      <c r="U21" s="80">
        <f t="shared" si="10"/>
        <v>13.851947418734895</v>
      </c>
      <c r="V21" t="s">
        <v>123</v>
      </c>
    </row>
    <row r="22" spans="1:22">
      <c r="A22" s="67" t="s">
        <v>162</v>
      </c>
      <c r="B22" s="74">
        <f>SIN(ACOS(B21))</f>
        <v>0.31224989991992003</v>
      </c>
      <c r="D22" s="81" t="s">
        <v>168</v>
      </c>
      <c r="E22" s="118" t="str">
        <f>IF(E$13="","",$B17*E$13 / ($B$4 * 12.9 * IF($B$13=3,SQRT(3),2)))</f>
        <v/>
      </c>
      <c r="F22" s="118">
        <f>IF(F$13="","",2*$B17*F$13 / ($B$4 * 12.9 * IF($B$13=3,SQRT(3),2)))</f>
        <v>1074.1400357016294</v>
      </c>
      <c r="G22" s="118">
        <f>IF(G$13="","",3*$B17*G$13 / ($B$4 * 12.9 * IF($B$13=3,SQRT(3),2)))</f>
        <v>644.48402142097768</v>
      </c>
      <c r="H22" s="118">
        <f>IF(H$13="","",4*$B17*H$13 / ($B$4 * 12.9 * IF($B$13=3,SQRT(3),2)))</f>
        <v>501.2653499940937</v>
      </c>
      <c r="I22" s="118">
        <f>IF(I$13="","",5*$B17*I$13 / ($B$4 * 12.9 * IF($B$13=3,SQRT(3),2)))</f>
        <v>447.55834820901225</v>
      </c>
      <c r="J22" s="118">
        <f>IF(J$13="","",6*$B17*J$13 / ($B$4 * 12.9 * IF($B$13=3,SQRT(3),2)))</f>
        <v>360.48139598146673</v>
      </c>
      <c r="K22" s="118">
        <f>IF(K$13="","",7*$B17*K$13 / ($B$4 * 12.9 * IF($B$13=3,SQRT(3),2)))</f>
        <v>333.59209042106937</v>
      </c>
      <c r="L22" s="118">
        <f>IF(L$13="","",8*$B17*L$13 / ($B$4 * 12.9 * IF($B$13=3,SQRT(3),2)))</f>
        <v>302.47783405357882</v>
      </c>
      <c r="M22" s="117"/>
      <c r="N22" s="118" t="str">
        <f>IF(N$14="","",$B17*N$6 / ($B$4 * 12.9 * IF($B$13=3,SQRT(3),2)))</f>
        <v/>
      </c>
      <c r="O22" s="118" t="str">
        <f>IF(O$14="","",2*$B17*O$6 / ($B$4 * 12.9 * IF($B$13=3,SQRT(3),2)))</f>
        <v/>
      </c>
      <c r="P22" s="118">
        <f>IF(P$14="","",3*$B17*P$6/ ($B$4 * 12.9 * IF($B$13=3,SQRT(3),2)))</f>
        <v>644.48402142097768</v>
      </c>
      <c r="Q22" s="118">
        <f>IF(Q$14="","",4*$B17*Q$6 / ($B$4 * 12.9 * IF($B$13=3,SQRT(3),2)))</f>
        <v>501.2653499940937</v>
      </c>
      <c r="R22" s="118">
        <f>IF(R$14="","",5*$B17*R$6 / ($B$4 * 12.9 * IF($B$13=3,SQRT(3),2)))</f>
        <v>447.55834820901225</v>
      </c>
      <c r="S22" s="118">
        <f>IF(S$14="","",6*$B17*S$6 / ($B$4 * 12.9 * IF($B$13=3,SQRT(3),2)))</f>
        <v>360.48139598146673</v>
      </c>
      <c r="T22" s="118">
        <f>IF(T$14="","",7*$B17*T$6 / ($B$4 * 12.9 * IF($B$13=3,SQRT(3),2)))</f>
        <v>333.59209042106937</v>
      </c>
      <c r="U22" s="118">
        <f>IF(U$14="","",8*$B17*U$6 / ($B$4 * 12.9 * IF($B$13=3,SQRT(3),2)))</f>
        <v>302.47783405357882</v>
      </c>
      <c r="V22" s="81" t="s">
        <v>168</v>
      </c>
    </row>
    <row r="23" spans="1:22">
      <c r="A23" s="75"/>
      <c r="D23" s="81" t="s">
        <v>3</v>
      </c>
      <c r="E23" s="118" t="str">
        <f>IF(E$13="","",$B18*E$13 / ($B$4 * 12.9 * IF($B$13=3,SQRT(3),2)))</f>
        <v/>
      </c>
      <c r="F23" s="118">
        <f>IF(F$13="","",2*$B18*F$13 / ($B$4 * 12.9 * IF($B$13=3,SQRT(3),2)))</f>
        <v>1611.2100535524439</v>
      </c>
      <c r="G23" s="118">
        <f>IF(G$13="","",3*$B18*G$13 / ($B$4 * 12.9 * IF($B$13=3,SQRT(3),2)))</f>
        <v>966.72603213146635</v>
      </c>
      <c r="H23" s="118">
        <f>IF(H$13="","",4*$B18*H$13 / ($B$4 * 12.9 * IF($B$13=3,SQRT(3),2)))</f>
        <v>751.89802499114046</v>
      </c>
      <c r="I23" s="118">
        <f>IF(I$13="","",5*$B18*I$13 / ($B$4 * 12.9 * IF($B$13=3,SQRT(3),2)))</f>
        <v>671.33752231351843</v>
      </c>
      <c r="J23" s="118">
        <f>IF(J$13="","",6*$B18*J$13 / ($B$4 * 12.9 * IF($B$13=3,SQRT(3),2)))</f>
        <v>540.72209397220013</v>
      </c>
      <c r="K23" s="118">
        <f>IF(K$13="","",7*$B18*K$13 / ($B$4 * 12.9 * IF($B$13=3,SQRT(3),2)))</f>
        <v>500.38813563160397</v>
      </c>
      <c r="L23" s="118">
        <f>IF(L$13="","",8*$B18*L$13 / ($B$4 * 12.9 * IF($B$13=3,SQRT(3),2)))</f>
        <v>453.71675108036817</v>
      </c>
      <c r="M23" s="117"/>
      <c r="N23" s="118" t="str">
        <f>IF(N14="","",$B18*N6 / ($B4 * 12.9 * IF($B13=3,SQRT(3),2)))</f>
        <v/>
      </c>
      <c r="O23" s="118" t="str">
        <f>IF(O14="","",2*$B18*O6 / ($B4 * 12.9 * IF($B13=3,SQRT(3),2)))</f>
        <v/>
      </c>
      <c r="P23" s="118">
        <f>IF(P14="","",3*$B18*P6 / ($B4 * 12.9 * IF($B13=3,SQRT(3),2)))</f>
        <v>966.72603213146635</v>
      </c>
      <c r="Q23" s="118">
        <f>IF(Q14="","",4*$B18*Q6 / ($B4 * 12.9 * IF($B13=3,SQRT(3),2)))</f>
        <v>751.89802499114046</v>
      </c>
      <c r="R23" s="118">
        <f>IF(R14="","",5*$B18*R6 / ($B4 * 12.9 * IF($B13=3,SQRT(3),2)))</f>
        <v>671.33752231351843</v>
      </c>
      <c r="S23" s="118">
        <f>IF(S14="","",6*$B18*S6 / ($B4 * 12.9 * IF($B13=3,SQRT(3),2)))</f>
        <v>540.72209397220013</v>
      </c>
      <c r="T23" s="118">
        <f>IF(T14="","",7*$B18*T6 / ($B4 * 12.9 * IF($B13=3,SQRT(3),2)))</f>
        <v>500.38813563160397</v>
      </c>
      <c r="U23" s="118">
        <f>IF(U14="","",8*$B18*U6 / ($B4 * 12.9 * IF($B13=3,SQRT(3),2)))</f>
        <v>453.71675108036817</v>
      </c>
      <c r="V23" s="81" t="s">
        <v>3</v>
      </c>
    </row>
    <row r="24" spans="1:22" ht="15" customHeight="1" thickBot="1"/>
    <row r="25" spans="1:22">
      <c r="D25" s="131" t="s">
        <v>64</v>
      </c>
      <c r="E25" s="42"/>
      <c r="F25" s="48" t="s">
        <v>55</v>
      </c>
      <c r="G25" s="49" t="s">
        <v>56</v>
      </c>
      <c r="H25" s="48" t="s">
        <v>57</v>
      </c>
      <c r="I25" s="49" t="s">
        <v>58</v>
      </c>
      <c r="J25" s="49" t="s">
        <v>59</v>
      </c>
      <c r="K25" s="49" t="s">
        <v>170</v>
      </c>
      <c r="L25" s="49" t="s">
        <v>171</v>
      </c>
      <c r="N25" s="49" t="s">
        <v>163</v>
      </c>
      <c r="O25" s="48" t="s">
        <v>55</v>
      </c>
      <c r="P25" s="49" t="s">
        <v>56</v>
      </c>
      <c r="Q25" s="48" t="s">
        <v>57</v>
      </c>
      <c r="R25" s="49" t="s">
        <v>58</v>
      </c>
      <c r="S25" s="48" t="s">
        <v>59</v>
      </c>
      <c r="T25" s="49" t="s">
        <v>170</v>
      </c>
      <c r="U25" s="47" t="s">
        <v>171</v>
      </c>
    </row>
    <row r="26" spans="1:22">
      <c r="D26" s="132"/>
      <c r="E26" s="32" t="s">
        <v>93</v>
      </c>
      <c r="F26" s="32" t="s">
        <v>93</v>
      </c>
      <c r="G26" s="32" t="s">
        <v>93</v>
      </c>
      <c r="H26" s="32" t="s">
        <v>93</v>
      </c>
      <c r="I26" s="32" t="s">
        <v>93</v>
      </c>
      <c r="J26" s="32" t="s">
        <v>93</v>
      </c>
      <c r="K26" s="32" t="s">
        <v>93</v>
      </c>
      <c r="L26" s="32" t="s">
        <v>93</v>
      </c>
      <c r="N26" s="32" t="s">
        <v>164</v>
      </c>
      <c r="O26" s="29" t="s">
        <v>164</v>
      </c>
      <c r="P26" s="32" t="s">
        <v>164</v>
      </c>
      <c r="Q26" s="29" t="s">
        <v>164</v>
      </c>
      <c r="R26" s="32" t="s">
        <v>164</v>
      </c>
      <c r="S26" s="29" t="s">
        <v>164</v>
      </c>
      <c r="T26" s="32" t="s">
        <v>164</v>
      </c>
      <c r="U26" s="30" t="s">
        <v>164</v>
      </c>
    </row>
    <row r="27" spans="1:22">
      <c r="D27" s="132"/>
      <c r="E27" s="32" t="s">
        <v>94</v>
      </c>
      <c r="F27" s="32" t="s">
        <v>94</v>
      </c>
      <c r="G27" s="32" t="s">
        <v>94</v>
      </c>
      <c r="H27" s="32" t="s">
        <v>94</v>
      </c>
      <c r="I27" s="32" t="s">
        <v>94</v>
      </c>
      <c r="J27" s="32" t="s">
        <v>94</v>
      </c>
      <c r="K27" s="32" t="s">
        <v>94</v>
      </c>
      <c r="L27" s="32" t="s">
        <v>94</v>
      </c>
      <c r="N27" s="32" t="s">
        <v>9</v>
      </c>
      <c r="O27" s="29" t="s">
        <v>9</v>
      </c>
      <c r="P27" s="32" t="s">
        <v>9</v>
      </c>
      <c r="Q27" s="29" t="s">
        <v>9</v>
      </c>
      <c r="R27" s="32" t="s">
        <v>9</v>
      </c>
      <c r="S27" s="29" t="s">
        <v>9</v>
      </c>
      <c r="T27" s="32" t="s">
        <v>9</v>
      </c>
      <c r="U27" s="30" t="s">
        <v>9</v>
      </c>
    </row>
    <row r="28" spans="1:22">
      <c r="D28" s="132"/>
      <c r="E28" s="50" t="str">
        <f>VLOOKUP(C5,tables!$M72:$N126,2,TRUE)</f>
        <v>Over</v>
      </c>
      <c r="F28" s="53" t="str">
        <f>IF(C$5&lt;200.01,"",VLOOKUP(C$5/2,tables!$M$72:$N$126,2,TRUE))</f>
        <v>Over</v>
      </c>
      <c r="G28" s="50" t="str">
        <f>IF($C$5&lt;300.01,"",VLOOKUP($C$5/3,tables!$M72:$N126,2,TRUE))</f>
        <v>900</v>
      </c>
      <c r="H28" s="53" t="str">
        <f>IF($C$5&lt;400.01,"",VLOOKUP($C$5/4,tables!$M72:$N126,2,TRUE))</f>
        <v>500</v>
      </c>
      <c r="I28" s="50" t="str">
        <f>IF($C$5&lt;500.01,"",VLOOKUP($C$5/5,tables!$M72:$N126,2,TRUE))</f>
        <v>350</v>
      </c>
      <c r="J28" s="50" t="str">
        <f>IF($C$5&lt;600.01,"",VLOOKUP($C$5/6,tables!$M72:$N126,2,TRUE))</f>
        <v>250</v>
      </c>
      <c r="K28" s="50" t="str">
        <f>IF($C$5&lt;700.01,"",VLOOKUP($C$5/7,tables!$M72:$N126,2,TRUE))</f>
        <v>4/0</v>
      </c>
      <c r="L28" s="50" t="str">
        <f>IF($C$5&lt;800.01,"",VLOOKUP($C$5/8,tables!$M72:$N126,2,TRUE))</f>
        <v>3/0</v>
      </c>
      <c r="N28" s="122" t="s">
        <v>17</v>
      </c>
      <c r="O28" s="119" t="s">
        <v>10</v>
      </c>
      <c r="P28" s="122" t="s">
        <v>20</v>
      </c>
      <c r="Q28" s="119" t="s">
        <v>15</v>
      </c>
      <c r="R28" s="122" t="s">
        <v>14</v>
      </c>
      <c r="S28" s="119" t="s">
        <v>12</v>
      </c>
      <c r="T28" s="122" t="s">
        <v>10</v>
      </c>
      <c r="U28" s="143" t="s">
        <v>7</v>
      </c>
    </row>
    <row r="29" spans="1:22" ht="16" thickBot="1">
      <c r="D29" s="132"/>
      <c r="E29" s="32" t="str">
        <f>IF(cmil!R2=0,"",cmil!R2)</f>
        <v/>
      </c>
      <c r="F29" s="32" t="str">
        <f>IF(cmil!S2=0,"",cmil!S2)</f>
        <v/>
      </c>
      <c r="G29" s="32">
        <f>IF(cmil!T2=0,"",cmil!T2)</f>
        <v>900000</v>
      </c>
      <c r="H29" s="32">
        <f>IF(cmil!U2=0,"",cmil!U2)</f>
        <v>500000</v>
      </c>
      <c r="I29" s="32">
        <f>IF(cmil!V2=0,"",cmil!V2)</f>
        <v>350000</v>
      </c>
      <c r="J29" s="32">
        <f>IF(cmil!W2=0,"",cmil!W2)</f>
        <v>250000</v>
      </c>
      <c r="K29" s="32">
        <f>IF(cmil!X2=0,"",cmil!X2)</f>
        <v>211600</v>
      </c>
      <c r="L29" s="32">
        <f>IF(cmil!Y2=0,"",cmil!Y2)</f>
        <v>167800</v>
      </c>
      <c r="N29" s="78">
        <f>cmil!AR2</f>
        <v>750000</v>
      </c>
      <c r="O29" s="121">
        <f>cmil!AS2</f>
        <v>250000</v>
      </c>
      <c r="P29" s="78">
        <f>cmil!AT2</f>
        <v>1000000</v>
      </c>
      <c r="Q29" s="121">
        <f>cmil!AU2</f>
        <v>600000</v>
      </c>
      <c r="R29" s="78">
        <f>cmil!AV2</f>
        <v>500000</v>
      </c>
      <c r="S29" s="121">
        <f>cmil!AW2</f>
        <v>350000</v>
      </c>
      <c r="T29" s="78">
        <f>cmil!AX2</f>
        <v>250000</v>
      </c>
      <c r="U29" s="144">
        <f>cmil!AY2</f>
        <v>211600</v>
      </c>
    </row>
    <row r="30" spans="1:22">
      <c r="D30" s="132"/>
      <c r="E30" s="46" t="s">
        <v>95</v>
      </c>
      <c r="F30" s="46" t="s">
        <v>95</v>
      </c>
      <c r="G30" s="46" t="s">
        <v>95</v>
      </c>
      <c r="H30" s="46" t="s">
        <v>95</v>
      </c>
      <c r="I30" s="46" t="s">
        <v>95</v>
      </c>
      <c r="J30" s="42" t="s">
        <v>95</v>
      </c>
      <c r="K30" s="42" t="s">
        <v>95</v>
      </c>
      <c r="L30" s="42" t="s">
        <v>95</v>
      </c>
      <c r="N30" s="44"/>
      <c r="O30" s="29"/>
      <c r="P30" s="29"/>
      <c r="Q30" s="29"/>
      <c r="R30" s="29"/>
      <c r="S30" s="29"/>
      <c r="T30" s="38"/>
      <c r="U30" s="40"/>
    </row>
    <row r="31" spans="1:22">
      <c r="D31" s="132"/>
      <c r="E31" s="44" t="s">
        <v>9</v>
      </c>
      <c r="F31" s="32" t="s">
        <v>9</v>
      </c>
      <c r="G31" s="29" t="s">
        <v>9</v>
      </c>
      <c r="H31" s="32" t="s">
        <v>9</v>
      </c>
      <c r="I31" s="29" t="s">
        <v>9</v>
      </c>
      <c r="J31" s="32" t="s">
        <v>9</v>
      </c>
      <c r="K31" s="32" t="s">
        <v>9</v>
      </c>
      <c r="L31" s="32" t="s">
        <v>9</v>
      </c>
      <c r="N31" s="44"/>
      <c r="O31" s="29"/>
      <c r="P31" s="29"/>
      <c r="Q31" s="29"/>
      <c r="R31" s="29"/>
      <c r="S31" s="29"/>
      <c r="T31" s="38"/>
      <c r="U31" s="40"/>
    </row>
    <row r="32" spans="1:22">
      <c r="D32" s="132"/>
      <c r="E32" s="51" t="str">
        <f>VLOOKUP(C9,tables!$P72:$Q126,2,TRUE)</f>
        <v>Over</v>
      </c>
      <c r="F32" s="50" t="str">
        <f>IF($C$9&lt;230.01,"",VLOOKUP(C$9/2,tables!$P$72:$Q$126,2,TRUE))</f>
        <v>1750</v>
      </c>
      <c r="G32" s="53" t="str">
        <f>IF($C$9&lt;345.01,"",VLOOKUP($C$9/3,tables!$P$72:$Q$126,2,TRUE))</f>
        <v>700</v>
      </c>
      <c r="H32" s="50" t="str">
        <f>IF($C$9&lt;460.01,"",VLOOKUP($C$9/4,tables!$P$72:$Q$126,2,TRUE))</f>
        <v>400</v>
      </c>
      <c r="I32" s="53" t="str">
        <f>IF($C$9&lt;575.01,"",VLOOKUP($C$9/5,tables!$P$72:$Q$126,2,TRUE))</f>
        <v>300</v>
      </c>
      <c r="J32" s="50" t="str">
        <f>IF($C$9&lt;690.01,"",VLOOKUP($C$9/6,tables!$P$72:$Q$126,2,TRUE))</f>
        <v>4/0</v>
      </c>
      <c r="K32" s="50" t="str">
        <f>IF($C$9&lt;805.01,"",VLOOKUP($C$9/7,tables!$P$72:$Q$126,2,TRUE))</f>
        <v>3/0</v>
      </c>
      <c r="L32" s="50" t="str">
        <f>IF($C$9&lt;920.01,"",VLOOKUP($C$9/8,tables!$P$72:$Q$126,2,TRUE))</f>
        <v>2/0</v>
      </c>
      <c r="N32" s="44"/>
      <c r="O32" s="29"/>
      <c r="P32" s="29"/>
      <c r="Q32" s="29"/>
      <c r="R32" s="29"/>
      <c r="S32" s="29"/>
      <c r="T32" s="38"/>
      <c r="U32" s="40"/>
    </row>
    <row r="33" spans="3:22" ht="16" thickBot="1">
      <c r="D33" s="132"/>
      <c r="E33" s="45" t="str">
        <f>IF(cmil!Z2=0,"",cmil!Z2)</f>
        <v/>
      </c>
      <c r="F33" s="45">
        <f>IF(cmil!AA2=0,"",cmil!AA2)</f>
        <v>1750000</v>
      </c>
      <c r="G33" s="45">
        <f>IF(cmil!AB2=0,"",cmil!AB2)</f>
        <v>700000</v>
      </c>
      <c r="H33" s="45">
        <f>IF(cmil!AC2=0,"",cmil!AC2)</f>
        <v>400000</v>
      </c>
      <c r="I33" s="45">
        <f>IF(cmil!AD2=0,"",cmil!AD2)</f>
        <v>300000</v>
      </c>
      <c r="J33" s="33">
        <f>IF(cmil!AE2=0,"",cmil!AE2)</f>
        <v>211600</v>
      </c>
      <c r="K33" s="33">
        <f>IF(cmil!AF2=0,"",cmil!AF2)</f>
        <v>167800</v>
      </c>
      <c r="L33" s="33">
        <f>IF(cmil!AG2=0,"",cmil!AG2)</f>
        <v>133100</v>
      </c>
      <c r="N33" s="44"/>
      <c r="O33" s="29"/>
      <c r="P33" s="29"/>
      <c r="Q33" s="29"/>
      <c r="R33" s="29"/>
      <c r="S33" s="29"/>
      <c r="T33" s="38"/>
      <c r="U33" s="40"/>
    </row>
    <row r="34" spans="3:22">
      <c r="C34" s="83" t="s">
        <v>92</v>
      </c>
      <c r="D34" s="132"/>
      <c r="E34" s="42" t="s">
        <v>66</v>
      </c>
      <c r="F34" s="29" t="s">
        <v>66</v>
      </c>
      <c r="G34" s="42" t="s">
        <v>66</v>
      </c>
      <c r="H34" s="29" t="s">
        <v>66</v>
      </c>
      <c r="I34" s="42" t="s">
        <v>66</v>
      </c>
      <c r="J34" s="42" t="s">
        <v>66</v>
      </c>
      <c r="K34" s="42" t="s">
        <v>66</v>
      </c>
      <c r="L34" s="42" t="s">
        <v>66</v>
      </c>
      <c r="N34" s="44"/>
      <c r="O34" s="29"/>
      <c r="P34" s="29"/>
      <c r="Q34" s="29"/>
      <c r="R34" s="29"/>
      <c r="S34" s="29"/>
      <c r="T34" s="38"/>
      <c r="U34" s="40"/>
    </row>
    <row r="35" spans="3:22" ht="16" thickBot="1">
      <c r="C35" s="84">
        <f>VLOOKUP(B$10,tables!Y$5:AA$41,3,FALSE)</f>
        <v>250</v>
      </c>
      <c r="D35" s="132"/>
      <c r="E35" s="50" t="str">
        <f t="shared" ref="E35:J35" si="11">IF(E29&gt;E33,E28,E32)</f>
        <v>Over</v>
      </c>
      <c r="F35" s="53" t="str">
        <f t="shared" si="11"/>
        <v>Over</v>
      </c>
      <c r="G35" s="50" t="str">
        <f t="shared" si="11"/>
        <v>900</v>
      </c>
      <c r="H35" s="53" t="str">
        <f t="shared" si="11"/>
        <v>500</v>
      </c>
      <c r="I35" s="50" t="str">
        <f t="shared" si="11"/>
        <v>350</v>
      </c>
      <c r="J35" s="50" t="str">
        <f t="shared" si="11"/>
        <v>250</v>
      </c>
      <c r="K35" s="50" t="str">
        <f>IF(K29&gt;K33,K28,K32)</f>
        <v>4/0</v>
      </c>
      <c r="L35" s="50" t="str">
        <f>IF(L29&gt;L33,L28,L32)</f>
        <v>3/0</v>
      </c>
      <c r="N35" s="44"/>
      <c r="O35" s="29"/>
      <c r="P35" s="29"/>
      <c r="Q35" s="29"/>
      <c r="R35" s="29"/>
      <c r="S35" s="29"/>
      <c r="T35" s="38"/>
      <c r="U35" s="40"/>
    </row>
    <row r="36" spans="3:22" ht="16" thickBot="1">
      <c r="D36" s="133"/>
      <c r="E36" s="82" t="str">
        <f t="shared" ref="E36:J36" si="12">IF(E29&gt;E33,E29,E33)</f>
        <v/>
      </c>
      <c r="F36" s="82" t="str">
        <f t="shared" si="12"/>
        <v/>
      </c>
      <c r="G36" s="82">
        <f t="shared" si="12"/>
        <v>900000</v>
      </c>
      <c r="H36" s="82">
        <f t="shared" si="12"/>
        <v>500000</v>
      </c>
      <c r="I36" s="82">
        <f t="shared" si="12"/>
        <v>350000</v>
      </c>
      <c r="J36" s="78">
        <f t="shared" si="12"/>
        <v>250000</v>
      </c>
      <c r="K36" s="78">
        <f>IF(K29&gt;K33,K29,K33)</f>
        <v>211600</v>
      </c>
      <c r="L36" s="78">
        <f>IF(L29&gt;L33,L29,L33)</f>
        <v>167800</v>
      </c>
      <c r="N36" s="45"/>
      <c r="O36" s="58"/>
      <c r="P36" s="58"/>
      <c r="Q36" s="58"/>
      <c r="R36" s="58"/>
      <c r="S36" s="58"/>
      <c r="T36" s="39"/>
      <c r="U36" s="43"/>
    </row>
    <row r="37" spans="3:22">
      <c r="D37" t="s">
        <v>124</v>
      </c>
      <c r="E37" s="87">
        <f>IF(E36="",0,E36)</f>
        <v>0</v>
      </c>
      <c r="F37" s="87">
        <f>IF(F36="",0,F36 * 2)</f>
        <v>0</v>
      </c>
      <c r="G37" s="87">
        <f>IF(G36="",0,G36 * 3)</f>
        <v>2700000</v>
      </c>
      <c r="H37" s="87">
        <f>IF(H36="",0,H36 * 4)</f>
        <v>2000000</v>
      </c>
      <c r="I37" s="87">
        <f>IF(I36="",0,I36 * 5)</f>
        <v>1750000</v>
      </c>
      <c r="J37" s="87">
        <f>IF(J36="",0,J36 * 6)</f>
        <v>1500000</v>
      </c>
      <c r="K37" s="87">
        <f>IF(K36="",0,K36 * 7)</f>
        <v>1481200</v>
      </c>
      <c r="L37" s="87">
        <f>IF(L36="",0,L36 * 8)</f>
        <v>1342400</v>
      </c>
      <c r="N37" s="87" t="str">
        <f>IF(OR(E35="Over",N29&lt;E37),"",N29)</f>
        <v/>
      </c>
      <c r="O37" s="87" t="str">
        <f>IF(OR(F35="Over",2*O29&lt;F37),"",2*O29)</f>
        <v/>
      </c>
      <c r="P37" s="87">
        <f>IF(OR(G35="Over",3*P29&lt;G37),"",3*P29)</f>
        <v>3000000</v>
      </c>
      <c r="Q37" s="87">
        <f>IF(OR(H35="Over",4*Q29&lt;H37),"",4*Q29)</f>
        <v>2400000</v>
      </c>
      <c r="R37" s="87">
        <f>IF(OR(I35="Over",5*R29&lt;I37),"",5*R29)</f>
        <v>2500000</v>
      </c>
      <c r="S37" s="87">
        <f>IF(OR(J35="Over",6*S29&lt;J37),"",6*S29)</f>
        <v>2100000</v>
      </c>
      <c r="T37" s="87">
        <f>IF(OR(K35="Over",7*T29&lt;K37),"",7*T29)</f>
        <v>1750000</v>
      </c>
      <c r="U37" s="87">
        <f>IF(OR(L35="Over",8*U29&lt;L37),"",8*U29)</f>
        <v>1692800</v>
      </c>
      <c r="V37" t="s">
        <v>124</v>
      </c>
    </row>
    <row r="38" spans="3:22">
      <c r="D38" t="s">
        <v>120</v>
      </c>
      <c r="E38" s="63" t="str">
        <f>IF(OR(E36="",E36="Over",E36&gt;1240000,E36=700000,E36=800000,E36=900000),"",VLOOKUP(E36,'Table 9'!$B$5:$D$28,IF($B$14="Steel",3,2),FALSE))</f>
        <v/>
      </c>
      <c r="F38" s="63" t="str">
        <f>IF(OR(F36="",F36="Over",F36&gt;1240000,F36=700000,F36=800000,F36=900000),"",VLOOKUP(F36,'Table 9'!$B$5:$D$28,IF($B$14="Steel",3,2),FALSE))</f>
        <v/>
      </c>
      <c r="G38" s="63" t="str">
        <f>IF(OR(G36="",G36="Over",G36&gt;1240000,G36=700000,G36=800000,G36=900000),"",VLOOKUP(G36,'Table 9'!$B$5:$D$28,IF($B$14="Steel",3,2),FALSE))</f>
        <v/>
      </c>
      <c r="H38" s="63">
        <f>IF(OR(H36="",H36="Over",H36&gt;1240000,H36=700000,H36=800000,H36=900000),"",VLOOKUP(H36,'Table 9'!$B$5:$D$28,IF($B$14="Steel",3,2),FALSE))</f>
        <v>4.8000000000000001E-2</v>
      </c>
      <c r="I38" s="63">
        <f>IF(OR(I36="",I36="Over",I36&gt;1240000,I36=700000,I36=800000,I36=900000),"",VLOOKUP(I36,'Table 9'!$B$5:$D$28,IF($B$14="Steel",3,2),FALSE))</f>
        <v>0.05</v>
      </c>
      <c r="J38" s="63">
        <f>IF(OR(J36="",J36="Over",J36&gt;1240000,J36=700000,J36=800000,J36=900000),"",VLOOKUP(J36,'Table 9'!$B$5:$D$28,IF($B$14="Steel",3,2),FALSE))</f>
        <v>5.1999999999999998E-2</v>
      </c>
      <c r="K38" s="63">
        <f>IF(OR(K36="",K36="Over",K36&gt;1240000,K36=700000,K36=800000,K36=900000),"",VLOOKUP(K36,'Table 9'!$B$5:$D$28,IF($B$14="Steel",3,2),FALSE))</f>
        <v>5.0999999999999997E-2</v>
      </c>
      <c r="L38" s="63">
        <f>IF(OR(L36="",L36="Over",L36&gt;1240000,L36=700000,L36=800000,L36=900000),"",VLOOKUP(L36,'Table 9'!$B$5:$D$28,IF($B$14="Steel",3,2),FALSE))</f>
        <v>5.1999999999999998E-2</v>
      </c>
      <c r="N38" s="63" t="str">
        <f>IF(N37="","",VLOOKUP(N29,'Table 9'!$B$5:$D$28,IF($B$14="Steel",3,2),FALSE))</f>
        <v/>
      </c>
      <c r="O38" s="63" t="str">
        <f>IF(O37="","",VLOOKUP(O29,'Table 9'!$B$5:$D$28,IF($B$14="Steel",3,2),FALSE))</f>
        <v/>
      </c>
      <c r="P38" s="63">
        <f>IF(P37="","",VLOOKUP(P29,'Table 9'!$B$5:$D$28,IF($B$14="Steel",3,2),FALSE))</f>
        <v>4.5999999999999999E-2</v>
      </c>
      <c r="Q38" s="63">
        <f>IF(Q37="","",VLOOKUP(Q29,'Table 9'!$B$5:$D$28,IF($B$14="Steel",3,2),FALSE))</f>
        <v>4.8000000000000001E-2</v>
      </c>
      <c r="R38" s="63">
        <f>IF(R37="","",VLOOKUP(R29,'Table 9'!$B$5:$D$28,IF($B$14="Steel",3,2),FALSE))</f>
        <v>4.8000000000000001E-2</v>
      </c>
      <c r="S38" s="63">
        <f>IF(S37="","",VLOOKUP(S29,'Table 9'!$B$5:$D$28,IF($B$14="Steel",3,2),FALSE))</f>
        <v>0.05</v>
      </c>
      <c r="T38" s="63">
        <f>IF(T37="","",VLOOKUP(T29,'Table 9'!$B$5:$D$28,IF($B$14="Steel",3,2),FALSE))</f>
        <v>5.1999999999999998E-2</v>
      </c>
      <c r="U38" s="63">
        <f>IF(U37="","",VLOOKUP(U29,'Table 9'!$B$5:$D$28,IF($B$14="Steel",3,2),FALSE))</f>
        <v>5.0999999999999997E-2</v>
      </c>
      <c r="V38" t="s">
        <v>120</v>
      </c>
    </row>
    <row r="39" spans="3:22">
      <c r="D39" t="s">
        <v>121</v>
      </c>
      <c r="E39" s="63" t="str">
        <f>IF(OR(E36="",E38=""),"",VLOOKUP(E36,'Table 9'!$B$5:$J$28,IF($B$14="steel",9,IF($B$14="Aluminum",8,7)),FALSE))</f>
        <v/>
      </c>
      <c r="F39" s="63" t="str">
        <f>IF(OR(F36="",F38=""),"",VLOOKUP(F36,'Table 9'!$B$5:$J$28,IF($B$14="steel",9,IF($B$14="Aluminum",8,7)),FALSE))</f>
        <v/>
      </c>
      <c r="G39" s="63" t="str">
        <f>IF(OR(G36="",G38=""),"",VLOOKUP(G36,'Table 9'!$B$5:$J$28,IF($B$14="steel",9,IF($B$14="Aluminum",8,7)),FALSE))</f>
        <v/>
      </c>
      <c r="H39" s="63">
        <f>IF(OR(H36="",H38=""),"",VLOOKUP(H36,'Table 9'!$B$5:$J$28,IF($B$14="steel",9,IF($B$14="Aluminum",8,7)),FALSE))</f>
        <v>4.4999999999999998E-2</v>
      </c>
      <c r="I39" s="63">
        <f>IF(OR(I36="",I38=""),"",VLOOKUP(I36,'Table 9'!$B$5:$J$28,IF($B$14="steel",9,IF($B$14="Aluminum",8,7)),FALSE))</f>
        <v>6.3E-2</v>
      </c>
      <c r="J39" s="63">
        <f>IF(OR(J36="",J38=""),"",VLOOKUP(J36,'Table 9'!$B$5:$J$28,IF($B$14="steel",9,IF($B$14="Aluminum",8,7)),FALSE))</f>
        <v>8.5999999999999993E-2</v>
      </c>
      <c r="K39" s="63">
        <f>IF(OR(K36="",K38=""),"",VLOOKUP(K36,'Table 9'!$B$5:$J$28,IF($B$14="steel",9,IF($B$14="Aluminum",8,7)),FALSE))</f>
        <v>0.1</v>
      </c>
      <c r="L39" s="63">
        <f>IF(OR(L36="",L38=""),"",VLOOKUP(L36,'Table 9'!$B$5:$J$28,IF($B$14="steel",9,IF($B$14="Aluminum",8,7)),FALSE))</f>
        <v>0.13</v>
      </c>
      <c r="N39" s="63" t="str">
        <f>IF(N37="","",VLOOKUP(N29,'Table 9'!$B$5:$J$28,IF($B$14="steel",9,IF($B$14="Aluminum",8,7)),FALSE))</f>
        <v/>
      </c>
      <c r="O39" s="63" t="str">
        <f>IF(O37="","",VLOOKUP(O29,'Table 9'!$B$5:$J$28,IF($B$14="steel",9,IF($B$14="Aluminum",8,7)),FALSE))</f>
        <v/>
      </c>
      <c r="P39" s="63">
        <f>IF(P37="","",VLOOKUP(P29,'Table 9'!$B$5:$J$28,IF($B$14="steel",9,IF($B$14="Aluminum",8,7)),FALSE))</f>
        <v>2.5000000000000001E-2</v>
      </c>
      <c r="Q39" s="63">
        <f>IF(Q37="","",VLOOKUP(Q29,'Table 9'!$B$5:$J$28,IF($B$14="steel",9,IF($B$14="Aluminum",8,7)),FALSE))</f>
        <v>3.7999999999999999E-2</v>
      </c>
      <c r="R39" s="63">
        <f>IF(R37="","",VLOOKUP(R29,'Table 9'!$B$5:$J$28,IF($B$14="steel",9,IF($B$14="Aluminum",8,7)),FALSE))</f>
        <v>4.4999999999999998E-2</v>
      </c>
      <c r="S39" s="63">
        <f>IF(S37="","",VLOOKUP(S29,'Table 9'!$B$5:$J$28,IF($B$14="steel",9,IF($B$14="Aluminum",8,7)),FALSE))</f>
        <v>6.3E-2</v>
      </c>
      <c r="T39" s="63">
        <f>IF(T37="","",VLOOKUP(T29,'Table 9'!$B$5:$J$28,IF($B$14="steel",9,IF($B$14="Aluminum",8,7)),FALSE))</f>
        <v>8.5999999999999993E-2</v>
      </c>
      <c r="U39" s="63">
        <f>IF(U37="","",VLOOKUP(U29,'Table 9'!$B$5:$J$28,IF($B$14="steel",9,IF($B$14="Aluminum",8,7)),FALSE))</f>
        <v>0.1</v>
      </c>
      <c r="V39" t="s">
        <v>121</v>
      </c>
    </row>
    <row r="40" spans="3:22">
      <c r="D40" t="s">
        <v>119</v>
      </c>
      <c r="E40" s="76" t="str">
        <f t="shared" ref="E40:J40" si="13">IF(E38="","",$B$21*E39 + $B$22*E38)</f>
        <v/>
      </c>
      <c r="F40" s="76" t="str">
        <f t="shared" si="13"/>
        <v/>
      </c>
      <c r="G40" s="76" t="str">
        <f t="shared" si="13"/>
        <v/>
      </c>
      <c r="H40" s="76">
        <f t="shared" si="13"/>
        <v>5.7737995196156161E-2</v>
      </c>
      <c r="I40" s="76">
        <f t="shared" si="13"/>
        <v>7.5462494995995999E-2</v>
      </c>
      <c r="J40" s="76">
        <f t="shared" si="13"/>
        <v>9.7936994795835841E-2</v>
      </c>
      <c r="K40" s="76">
        <f>IF(K38="","",$B$21*K39 + $B$22*K38)</f>
        <v>0.11092474489591592</v>
      </c>
      <c r="L40" s="76">
        <f>IF(L38="","",$B$21*L39 + $B$22*L38)</f>
        <v>0.13973699479583584</v>
      </c>
      <c r="N40" s="76" t="str">
        <f t="shared" ref="N40:S40" si="14">IF(N37="","",$B$21*N39 + $B$22*N38)</f>
        <v/>
      </c>
      <c r="O40" s="76" t="str">
        <f t="shared" si="14"/>
        <v/>
      </c>
      <c r="P40" s="76">
        <f t="shared" si="14"/>
        <v>3.8113495396316324E-2</v>
      </c>
      <c r="Q40" s="76">
        <f t="shared" si="14"/>
        <v>5.1087995196156158E-2</v>
      </c>
      <c r="R40" s="76">
        <f t="shared" si="14"/>
        <v>5.7737995196156161E-2</v>
      </c>
      <c r="S40" s="76">
        <f t="shared" si="14"/>
        <v>7.5462494995995999E-2</v>
      </c>
      <c r="T40" s="76">
        <f t="shared" ref="T40:U40" si="15">IF(T37="","",$B$21*T39 + $B$22*T38)</f>
        <v>9.7936994795835841E-2</v>
      </c>
      <c r="U40" s="76">
        <f t="shared" si="15"/>
        <v>0.11092474489591592</v>
      </c>
      <c r="V40" t="s">
        <v>119</v>
      </c>
    </row>
    <row r="41" spans="3:22">
      <c r="D41" t="s">
        <v>122</v>
      </c>
      <c r="E41" s="31" t="str">
        <f>IF(E38="","",$B$4*E40*IF($B$13=1,2,SQRT(3)))</f>
        <v/>
      </c>
      <c r="F41" s="31" t="str">
        <f>IF(F38="","",$B$4*F40*IF($B$13=1,2,SQRT(3))/2)</f>
        <v/>
      </c>
      <c r="G41" s="31" t="str">
        <f>IF(G38="","",$B$4*G40*IF($B$13=1,2,SQRT(3)) / 3)</f>
        <v/>
      </c>
      <c r="H41" s="31">
        <f>IF(H38="","",$B$4*H40*IF($B$13=1,2,SQRT(3)) / 4)</f>
        <v>30.001542362073067</v>
      </c>
      <c r="I41" s="31">
        <f>IF(I38="","",$B$4*I40*IF($B$13=1,2,SQRT(3)) / 5)</f>
        <v>31.369170095754537</v>
      </c>
      <c r="J41" s="31">
        <f>IF(J38="","",$B$4*J40*IF($B$13=1,2,SQRT(3)) / 6)</f>
        <v>33.926370185399279</v>
      </c>
      <c r="K41" s="31">
        <f>IF(K38="","",$B$4*K40*IF($B$13=1,2,SQRT(3)) / 7)</f>
        <v>32.936107538801636</v>
      </c>
      <c r="L41" s="31">
        <f>IF(L38="","",$B$4*L40*IF($B$13=1,2,SQRT(3)) / 8)</f>
        <v>36.304736202506319</v>
      </c>
      <c r="N41" s="31" t="str">
        <f>IF(N37="","",$B$4*N40*IF($B$13=1,2,SQRT(3)))</f>
        <v/>
      </c>
      <c r="O41" s="31" t="str">
        <f>IF(O37="","",$B$4*O40*IF($B$13=1,2,SQRT(3))/2)</f>
        <v/>
      </c>
      <c r="P41" s="31">
        <f>IF(P37="","",$B$4*P40*IF($B$13=1,2,SQRT(3))/3)</f>
        <v>26.405804192184949</v>
      </c>
      <c r="Q41" s="31">
        <f>IF(Q37="","",$B$4*Q40*IF($B$13=1,2,SQRT(3))/4)</f>
        <v>26.546101000973156</v>
      </c>
      <c r="R41" s="31">
        <f>IF(R37="","",$B$4*R40*IF($B$13=1,2,SQRT(3))/5)</f>
        <v>24.001233889658455</v>
      </c>
      <c r="S41" s="31">
        <f>IF(S37="","",$B$4*S40*IF($B$13=1,2,SQRT(3))/6)</f>
        <v>26.140975079795449</v>
      </c>
      <c r="T41" s="31">
        <f>IF(T37="","",$B$4*T40*IF($B$13=1,2,SQRT(3))/7)</f>
        <v>29.079745873199382</v>
      </c>
      <c r="U41" s="31">
        <f>IF(U37="","",$B$4*U40*IF($B$13=1,2,SQRT(3))/8)</f>
        <v>28.81909409645143</v>
      </c>
      <c r="V41" t="s">
        <v>122</v>
      </c>
    </row>
    <row r="42" spans="3:22">
      <c r="D42" s="81" t="s">
        <v>2</v>
      </c>
      <c r="E42" s="85" t="str">
        <f>IF(E38="","",$B$17/E41* 1000)</f>
        <v/>
      </c>
      <c r="F42" s="85" t="str">
        <f>IF(F38="","",$B$17/F41* 1000)</f>
        <v/>
      </c>
      <c r="G42" s="85" t="str">
        <f>IF(G38="","",$B$17/G41* 1000)</f>
        <v/>
      </c>
      <c r="H42" s="85">
        <f>IF(H38="","",$B$17/H41* 1000)</f>
        <v>319.98354898366802</v>
      </c>
      <c r="I42" s="85">
        <f>IF(I38="","",$B$17/I41* 1000)</f>
        <v>306.03296072851003</v>
      </c>
      <c r="J42" s="85">
        <f>IF(J38="","",$B$17/J41* 1000)</f>
        <v>282.96572688260954</v>
      </c>
      <c r="K42" s="85">
        <f>IF(K38="","",$B$17/K41* 1000)</f>
        <v>291.47342285940601</v>
      </c>
      <c r="L42" s="85">
        <f>IF(L38="","",$B$17/L41* 1000)</f>
        <v>264.4283089250834</v>
      </c>
      <c r="N42" s="85" t="str">
        <f t="shared" ref="N42:U42" si="16">IF(N38="","",$B$17/N41* 1000)</f>
        <v/>
      </c>
      <c r="O42" s="85" t="str">
        <f t="shared" si="16"/>
        <v/>
      </c>
      <c r="P42" s="85">
        <f t="shared" si="16"/>
        <v>363.55643365867314</v>
      </c>
      <c r="Q42" s="85">
        <f t="shared" si="16"/>
        <v>361.63502879944866</v>
      </c>
      <c r="R42" s="85">
        <f t="shared" si="16"/>
        <v>399.97943622958502</v>
      </c>
      <c r="S42" s="85">
        <f t="shared" si="16"/>
        <v>367.239552874212</v>
      </c>
      <c r="T42" s="85">
        <f t="shared" si="16"/>
        <v>330.12668136304444</v>
      </c>
      <c r="U42" s="85">
        <f t="shared" si="16"/>
        <v>333.11248326789263</v>
      </c>
      <c r="V42" s="81" t="s">
        <v>2</v>
      </c>
    </row>
    <row r="43" spans="3:22">
      <c r="D43" s="81" t="s">
        <v>125</v>
      </c>
      <c r="E43" s="85" t="str">
        <f t="shared" ref="E42:T43" si="17">IF(E38="","",$B$18/E41* 1000)</f>
        <v/>
      </c>
      <c r="F43" s="85" t="str">
        <f t="shared" si="17"/>
        <v/>
      </c>
      <c r="G43" s="85" t="str">
        <f t="shared" si="17"/>
        <v/>
      </c>
      <c r="H43" s="85">
        <f t="shared" si="17"/>
        <v>479.97532347550202</v>
      </c>
      <c r="I43" s="85">
        <f t="shared" si="17"/>
        <v>459.04944109276499</v>
      </c>
      <c r="J43" s="85">
        <f t="shared" si="17"/>
        <v>424.44859032391429</v>
      </c>
      <c r="K43" s="85">
        <f t="shared" si="17"/>
        <v>437.21013428910896</v>
      </c>
      <c r="L43" s="85">
        <f t="shared" si="17"/>
        <v>396.64246338762507</v>
      </c>
      <c r="N43" s="85" t="str">
        <f t="shared" si="17"/>
        <v/>
      </c>
      <c r="O43" s="85" t="str">
        <f t="shared" si="17"/>
        <v/>
      </c>
      <c r="P43" s="85">
        <f t="shared" si="17"/>
        <v>545.33465048800963</v>
      </c>
      <c r="Q43" s="85">
        <f t="shared" si="17"/>
        <v>542.45254319917296</v>
      </c>
      <c r="R43" s="85">
        <f t="shared" si="17"/>
        <v>599.96915434437756</v>
      </c>
      <c r="S43" s="85">
        <f t="shared" si="17"/>
        <v>550.85932931131799</v>
      </c>
      <c r="T43" s="85">
        <f t="shared" si="17"/>
        <v>495.19002204456672</v>
      </c>
      <c r="U43" s="85">
        <f t="shared" ref="U43" si="18">IF(U38="","",$B$18/U41* 1000)</f>
        <v>499.66872490183891</v>
      </c>
      <c r="V43" s="81" t="s">
        <v>125</v>
      </c>
    </row>
    <row r="44" spans="3:22">
      <c r="D44" t="s">
        <v>123</v>
      </c>
      <c r="E44" s="80" t="str">
        <f t="shared" ref="E44:J44" si="19">IF(E38="","",E36*E40/1000)</f>
        <v/>
      </c>
      <c r="F44" s="80" t="str">
        <f t="shared" si="19"/>
        <v/>
      </c>
      <c r="G44" s="80" t="str">
        <f t="shared" si="19"/>
        <v/>
      </c>
      <c r="H44" s="80">
        <f t="shared" si="19"/>
        <v>28.868997598078082</v>
      </c>
      <c r="I44" s="80">
        <f t="shared" si="19"/>
        <v>26.411873248598599</v>
      </c>
      <c r="J44" s="80">
        <f t="shared" si="19"/>
        <v>24.484248698958961</v>
      </c>
      <c r="K44" s="80">
        <f>IF(K38="","",K36*K40/1000)</f>
        <v>23.471676019975806</v>
      </c>
      <c r="L44" s="80">
        <f>IF(L38="","",L36*L40/1000)</f>
        <v>23.447867726741254</v>
      </c>
      <c r="N44" s="80" t="str">
        <f>IF(N38="","",N29*N40/1000)</f>
        <v/>
      </c>
      <c r="O44" s="80" t="str">
        <f t="shared" ref="O44:U44" si="20">IF(O38="","",O29*O40/1000)</f>
        <v/>
      </c>
      <c r="P44" s="80">
        <f t="shared" si="20"/>
        <v>38.113495396316324</v>
      </c>
      <c r="Q44" s="80">
        <f t="shared" si="20"/>
        <v>30.652797117693694</v>
      </c>
      <c r="R44" s="80">
        <f t="shared" si="20"/>
        <v>28.868997598078082</v>
      </c>
      <c r="S44" s="80">
        <f t="shared" si="20"/>
        <v>26.411873248598599</v>
      </c>
      <c r="T44" s="80">
        <f t="shared" si="20"/>
        <v>24.484248698958961</v>
      </c>
      <c r="U44" s="80">
        <f t="shared" si="20"/>
        <v>23.471676019975806</v>
      </c>
      <c r="V44" t="s">
        <v>123</v>
      </c>
    </row>
    <row r="45" spans="3:22">
      <c r="D45" s="81" t="s">
        <v>181</v>
      </c>
      <c r="E45" s="86" t="str">
        <f>IF(E36="","",$B$17*E36 / ($B$4 * 21.2 * IF($B$13=3,SQRT(3),2)))</f>
        <v/>
      </c>
      <c r="F45" s="86" t="str">
        <f>IF(F36="","",2*$B$17*F36 / ($B$4 * 21.2 * IF($B$13=3,SQRT(3),2)))</f>
        <v/>
      </c>
      <c r="G45" s="86">
        <f>IF(G36="","",3*$B$17*G36 / ($B$4 * 21.2 * IF($B$13=3,SQRT(3),2)))</f>
        <v>588.24367049509033</v>
      </c>
      <c r="H45" s="86">
        <f>IF(H36="","",4*$B$17*H36 / ($B$4 * 21.2 * IF($B$13=3,SQRT(3),2)))</f>
        <v>435.73605221858548</v>
      </c>
      <c r="I45" s="86">
        <f>IF(I36="","",5*$B$17*I36 / ($B$4 * 21.2 * IF($B$13=3,SQRT(3),2)))</f>
        <v>381.26904569126231</v>
      </c>
      <c r="J45" s="86">
        <f>IF(J36="","",6*$B$17*J36 / ($B$4 * 21.2 * IF($B$13=3,SQRT(3),2)))</f>
        <v>326.80203916393907</v>
      </c>
      <c r="K45" s="86">
        <f>IF(K36="","",7*$B$17*K36 / ($B$4 * 21.2 * IF($B$13=3,SQRT(3),2)))</f>
        <v>322.70612027308442</v>
      </c>
      <c r="L45" s="86">
        <f>IF(L36="","",8*$B$17*L36 / ($B$4 * 21.2 * IF($B$13=3,SQRT(3),2)))</f>
        <v>292.4660382491146</v>
      </c>
      <c r="N45" s="118" t="str">
        <f>IF(N$37="","",$B17*N$29 / ($B$4 * 21.2 * IF($B$13=3,SQRT(3),2)))</f>
        <v/>
      </c>
      <c r="O45" s="118" t="str">
        <f>IF(O$37="","",2*$B17*O$29 / ($B$4 * 21.2 * IF($B$13=3,SQRT(3),2)))</f>
        <v/>
      </c>
      <c r="P45" s="118">
        <f>IF(P$37="","",3*$B17*P$29/ ($B$4 * 21.2 * IF($B$13=3,SQRT(3),2)))</f>
        <v>653.60407832787814</v>
      </c>
      <c r="Q45" s="118">
        <f>IF(Q$37="","",4*$B17*Q$29 / ($B$4 * 21.2 * IF($B$13=3,SQRT(3),2)))</f>
        <v>522.88326266230263</v>
      </c>
      <c r="R45" s="118">
        <f>IF(R$37="","",5*$B17*R$29 / ($B$4 * 21.2 * IF($B$13=3,SQRT(3),2)))</f>
        <v>544.6700652732319</v>
      </c>
      <c r="S45" s="118">
        <f>IF(S$37="","",6*$B17*S$29 / ($B$4 * 21.2 * IF($B$13=3,SQRT(3),2)))</f>
        <v>457.5228548295147</v>
      </c>
      <c r="T45" s="118">
        <f>IF(T$37="","",7*$B17*T$29 / ($B$4 * 21.2 * IF($B$13=3,SQRT(3),2)))</f>
        <v>381.26904569126231</v>
      </c>
      <c r="U45" s="118">
        <f>IF(U$37="","",8*$B17*U$29 / ($B$4 * 21.2 * IF($B$13=3,SQRT(3),2)))</f>
        <v>368.80699459781079</v>
      </c>
      <c r="V45" s="81" t="s">
        <v>181</v>
      </c>
    </row>
    <row r="46" spans="3:22">
      <c r="D46" s="81" t="s">
        <v>180</v>
      </c>
      <c r="E46" s="86" t="str">
        <f>IF(E36="","",$B$18*E36 / ($B$4 * 21.2 * IF($B$13=3,SQRT(3),2)))</f>
        <v/>
      </c>
      <c r="F46" s="86" t="str">
        <f>IF(F36="","",2*$B$18*F36 / ($B$4 * 21.2 * IF($B$13=3,SQRT(3),2)))</f>
        <v/>
      </c>
      <c r="G46" s="86">
        <f>IF(G36="","",3*$B$18*G36 / ($B$4 * 21.2 * IF($B$13=3,SQRT(3),2)))</f>
        <v>882.36550574263549</v>
      </c>
      <c r="H46" s="86">
        <f>IF(H36="","",4*$B$18*H36 / ($B$4 * 21.2 * IF($B$13=3,SQRT(3),2)))</f>
        <v>653.60407832787814</v>
      </c>
      <c r="I46" s="86">
        <f>IF(I36="","",5*$B$18*I36 / ($B$4 * 21.2 * IF($B$13=3,SQRT(3),2)))</f>
        <v>571.90356853689343</v>
      </c>
      <c r="J46" s="86">
        <f>IF(J36="","",6*$B$18*J36 / ($B$4 * 21.2 * IF($B$13=3,SQRT(3),2)))</f>
        <v>490.20305874590861</v>
      </c>
      <c r="K46" s="86">
        <f>IF(K36="","",7*$B$18*K36 / ($B$4 * 21.2 * IF($B$13=3,SQRT(3),2)))</f>
        <v>484.05918040962655</v>
      </c>
      <c r="L46" s="86">
        <f>IF(L36="","",8*$B$18*L36 / ($B$4 * 21.2 * IF($B$13=3,SQRT(3),2)))</f>
        <v>438.69905737367179</v>
      </c>
      <c r="N46" s="118" t="str">
        <f>IF(N$37="","",$B18*N$29 / ($B$4 * 21.2 * IF($B$13=3,SQRT(3),2)))</f>
        <v/>
      </c>
      <c r="O46" s="118" t="str">
        <f>IF(O$37="","",2*$B18*O$29 / ($B$4 * 21.2 * IF($B$13=3,SQRT(3),2)))</f>
        <v/>
      </c>
      <c r="P46" s="118">
        <f>IF(P$37="","",3*$B18*P$29/ ($B$4 * 21.2 * IF($B$13=3,SQRT(3),2)))</f>
        <v>980.40611749181721</v>
      </c>
      <c r="Q46" s="118">
        <f>IF(Q$37="","",4*$B18*Q$29 / ($B$4 * 21.2 * IF($B$13=3,SQRT(3),2)))</f>
        <v>784.32489399345388</v>
      </c>
      <c r="R46" s="118">
        <f>IF(R$37="","",5*$B18*R$29 / ($B$4 * 21.2 * IF($B$13=3,SQRT(3),2)))</f>
        <v>817.00509790984779</v>
      </c>
      <c r="S46" s="118">
        <f>IF(S$37="","",6*$B18*S$29 / ($B$4 * 21.2 * IF($B$13=3,SQRT(3),2)))</f>
        <v>686.28428224427205</v>
      </c>
      <c r="T46" s="118">
        <f>IF(T$37="","",7*$B18*T$29 / ($B$4 * 21.2 * IF($B$13=3,SQRT(3),2)))</f>
        <v>571.90356853689343</v>
      </c>
      <c r="U46" s="118">
        <f>IF(U$37="","",8*$B18*U$29 / ($B$4 * 21.2 * IF($B$13=3,SQRT(3),2)))</f>
        <v>553.21049189671612</v>
      </c>
      <c r="V46" s="81" t="s">
        <v>180</v>
      </c>
    </row>
  </sheetData>
  <mergeCells count="2">
    <mergeCell ref="D25:D36"/>
    <mergeCell ref="D2:D13"/>
  </mergeCells>
  <conditionalFormatting sqref="E12">
    <cfRule type="containsText" dxfId="13" priority="20" operator="containsText" text="Over">
      <formula>NOT(ISERROR(SEARCH("Over",E12)))</formula>
    </cfRule>
    <cfRule type="notContainsBlanks" dxfId="12" priority="29">
      <formula>LEN(TRIM(E12))&gt;0</formula>
    </cfRule>
  </conditionalFormatting>
  <conditionalFormatting sqref="F12:J12">
    <cfRule type="containsText" dxfId="11" priority="19" operator="containsText" text="Over">
      <formula>NOT(ISERROR(SEARCH("Over",F12)))</formula>
    </cfRule>
    <cfRule type="notContainsBlanks" dxfId="10" priority="22">
      <formula>LEN(TRIM(F12))&gt;0</formula>
    </cfRule>
  </conditionalFormatting>
  <conditionalFormatting sqref="E35:J35">
    <cfRule type="containsText" dxfId="9" priority="18" operator="containsText" text="Over">
      <formula>NOT(ISERROR(SEARCH("Over",E35)))</formula>
    </cfRule>
    <cfRule type="notContainsBlanks" dxfId="8" priority="21">
      <formula>LEN(TRIM(E35))&gt;0</formula>
    </cfRule>
  </conditionalFormatting>
  <conditionalFormatting sqref="E5">
    <cfRule type="colorScale" priority="24">
      <colorScale>
        <cfvo type="min"/>
        <cfvo type="formula" val="&quot;e6&gt;e10&quot;"/>
        <color theme="0"/>
        <color rgb="FFFFEF9C"/>
      </colorScale>
    </cfRule>
  </conditionalFormatting>
  <conditionalFormatting sqref="K12">
    <cfRule type="containsText" dxfId="7" priority="7" operator="containsText" text="Over">
      <formula>NOT(ISERROR(SEARCH("Over",K12)))</formula>
    </cfRule>
    <cfRule type="notContainsBlanks" dxfId="6" priority="8">
      <formula>LEN(TRIM(K12))&gt;0</formula>
    </cfRule>
  </conditionalFormatting>
  <conditionalFormatting sqref="L12">
    <cfRule type="containsText" dxfId="5" priority="5" operator="containsText" text="Over">
      <formula>NOT(ISERROR(SEARCH("Over",L12)))</formula>
    </cfRule>
    <cfRule type="notContainsBlanks" dxfId="4" priority="6">
      <formula>LEN(TRIM(L12))&gt;0</formula>
    </cfRule>
  </conditionalFormatting>
  <conditionalFormatting sqref="K35">
    <cfRule type="containsText" dxfId="3" priority="3" operator="containsText" text="Over">
      <formula>NOT(ISERROR(SEARCH("Over",K35)))</formula>
    </cfRule>
    <cfRule type="notContainsBlanks" dxfId="2" priority="4">
      <formula>LEN(TRIM(K35))&gt;0</formula>
    </cfRule>
  </conditionalFormatting>
  <conditionalFormatting sqref="L35">
    <cfRule type="containsText" dxfId="1" priority="1" operator="containsText" text="Over">
      <formula>NOT(ISERROR(SEARCH("Over",L35)))</formula>
    </cfRule>
    <cfRule type="notContainsBlanks" dxfId="0" priority="2">
      <formula>LEN(TRIM(L35))&gt;0</formula>
    </cfRule>
  </conditionalFormatting>
  <dataValidations count="1">
    <dataValidation type="whole" allowBlank="1" showInputMessage="1" showErrorMessage="1" sqref="B15">
      <formula1>10</formula1>
      <formula2>100</formula2>
    </dataValidation>
  </dataValidations>
  <pageMargins left="0.75" right="0.75" top="1" bottom="1" header="0.5" footer="0.5"/>
  <pageSetup orientation="portrait" horizontalDpi="4294967292" verticalDpi="4294967292"/>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tables!$B$35:$B$36</xm:f>
          </x14:formula1>
          <xm:sqref>B5</xm:sqref>
        </x14:dataValidation>
        <x14:dataValidation type="list" allowBlank="1" showInputMessage="1" showErrorMessage="1">
          <x14:formula1>
            <xm:f>tables!$C$35:$C$36</xm:f>
          </x14:formula1>
          <xm:sqref>B13</xm:sqref>
        </x14:dataValidation>
        <x14:dataValidation type="list" allowBlank="1" showInputMessage="1" showErrorMessage="1">
          <x14:formula1>
            <xm:f>tables!$D$35:$D$37</xm:f>
          </x14:formula1>
          <xm:sqref>B14</xm:sqref>
        </x14:dataValidation>
        <x14:dataValidation type="list" allowBlank="1" showInputMessage="1" showErrorMessage="1">
          <x14:formula1>
            <xm:f>tables!$E$35:$E$39</xm:f>
          </x14:formula1>
          <xm:sqref>B16</xm:sqref>
        </x14:dataValidation>
        <x14:dataValidation type="list" allowBlank="1" showInputMessage="1" showErrorMessage="1">
          <x14:formula1>
            <xm:f>tables!$A$5:$A$25</xm:f>
          </x14:formula1>
          <xm:sqref>N5 N28</xm:sqref>
        </x14:dataValidation>
        <x14:dataValidation type="list" allowBlank="1" showInputMessage="1" showErrorMessage="1">
          <x14:formula1>
            <xm:f>tables!$A$14:$A$25</xm:f>
          </x14:formula1>
          <xm:sqref>O5:U5 O28:U28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
  <sheetViews>
    <sheetView workbookViewId="0">
      <selection activeCell="B9" sqref="B9"/>
    </sheetView>
  </sheetViews>
  <sheetFormatPr baseColWidth="10" defaultRowHeight="15" x14ac:dyDescent="0"/>
  <cols>
    <col min="1" max="1" width="6.140625" style="116" customWidth="1"/>
    <col min="2" max="2" width="107" style="115" customWidth="1"/>
  </cols>
  <sheetData>
    <row r="3" spans="1:2" ht="75">
      <c r="A3" s="116">
        <v>1</v>
      </c>
      <c r="B3" s="115" t="s">
        <v>193</v>
      </c>
    </row>
    <row r="4" spans="1:2" ht="45">
      <c r="A4" s="116">
        <v>2</v>
      </c>
      <c r="B4" s="115" t="s">
        <v>194</v>
      </c>
    </row>
    <row r="5" spans="1:2" ht="30">
      <c r="A5" s="116">
        <v>3</v>
      </c>
      <c r="B5" s="115" t="s">
        <v>0</v>
      </c>
    </row>
    <row r="6" spans="1:2">
      <c r="A6" s="116">
        <v>4</v>
      </c>
      <c r="B6" s="115" t="s">
        <v>167</v>
      </c>
    </row>
    <row r="7" spans="1:2" ht="30">
      <c r="A7" s="116">
        <v>5</v>
      </c>
      <c r="B7" s="115" t="s">
        <v>195</v>
      </c>
    </row>
    <row r="8" spans="1:2" ht="30">
      <c r="A8" s="116">
        <v>6</v>
      </c>
      <c r="B8" s="115" t="s">
        <v>196</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6"/>
  <sheetViews>
    <sheetView topLeftCell="G1" workbookViewId="0">
      <selection activeCell="A36" sqref="A36"/>
    </sheetView>
  </sheetViews>
  <sheetFormatPr baseColWidth="10" defaultRowHeight="15" x14ac:dyDescent="0"/>
  <cols>
    <col min="1" max="1" width="10.7109375" style="1"/>
    <col min="2" max="2" width="10.7109375" style="2"/>
    <col min="3" max="5" width="10.7109375" style="1"/>
    <col min="6" max="6" width="5.42578125" style="1" customWidth="1"/>
    <col min="7" max="8" width="10.7109375" style="1"/>
    <col min="9" max="9" width="3.42578125" style="1" customWidth="1"/>
    <col min="10" max="11" width="10.7109375" style="1"/>
    <col min="12" max="12" width="3.85546875" style="1" customWidth="1"/>
    <col min="13" max="13" width="11.7109375" style="1" bestFit="1" customWidth="1"/>
    <col min="14" max="14" width="10.7109375" style="1"/>
    <col min="15" max="15" width="3.28515625" style="1" customWidth="1"/>
    <col min="16" max="16" width="11.7109375" style="1" bestFit="1" customWidth="1"/>
    <col min="17" max="17" width="10.7109375" style="1"/>
    <col min="18" max="18" width="3.28515625" style="1" customWidth="1"/>
    <col min="19" max="20" width="10.7109375" style="1"/>
    <col min="21" max="21" width="3.28515625" style="1" customWidth="1"/>
    <col min="22" max="23" width="10.7109375" style="1"/>
    <col min="24" max="24" width="3.42578125" style="1" customWidth="1"/>
    <col min="25" max="27" width="10.7109375" style="1"/>
    <col min="28" max="28" width="3.5703125" style="1" customWidth="1"/>
    <col min="29" max="31" width="10.7109375" style="1"/>
    <col min="32" max="32" width="4" style="1" customWidth="1"/>
    <col min="33" max="33" width="6.140625" style="1" customWidth="1"/>
    <col min="34" max="34" width="9.42578125" style="1" customWidth="1"/>
    <col min="35" max="16384" width="10.7109375" style="1"/>
  </cols>
  <sheetData>
    <row r="1" spans="1:38">
      <c r="A1" s="2"/>
      <c r="V1" s="1">
        <v>133100</v>
      </c>
      <c r="Y1" s="1">
        <v>1200</v>
      </c>
      <c r="AI1" s="1" t="s">
        <v>104</v>
      </c>
      <c r="AJ1" s="1" t="s">
        <v>104</v>
      </c>
      <c r="AK1" s="1" t="s">
        <v>106</v>
      </c>
      <c r="AL1" s="1" t="s">
        <v>106</v>
      </c>
    </row>
    <row r="2" spans="1:38" ht="16" thickBot="1">
      <c r="A2" s="23"/>
      <c r="B2" s="26"/>
      <c r="V2" s="1" t="str">
        <f>VLOOKUP(V1,V5:W32,2,FALSE)</f>
        <v>2/0</v>
      </c>
      <c r="W2" s="31"/>
      <c r="Y2" s="1" t="str">
        <f>VLOOKUP(Y1,Y5:AA38,2,FALSE)</f>
        <v>3/0</v>
      </c>
      <c r="AD2" s="1">
        <v>250.66</v>
      </c>
      <c r="AI2" s="1" t="s">
        <v>103</v>
      </c>
      <c r="AJ2" s="1" t="s">
        <v>103</v>
      </c>
      <c r="AK2" s="1" t="s">
        <v>103</v>
      </c>
      <c r="AL2" s="1" t="s">
        <v>103</v>
      </c>
    </row>
    <row r="3" spans="1:38" ht="16" thickBot="1">
      <c r="A3" s="64" t="s">
        <v>165</v>
      </c>
      <c r="M3" s="1" t="s">
        <v>118</v>
      </c>
      <c r="P3" s="1" t="s">
        <v>118</v>
      </c>
      <c r="S3" s="1">
        <v>240.6</v>
      </c>
      <c r="Z3" s="1">
        <v>250.12200000000001</v>
      </c>
      <c r="AC3" s="46" t="s">
        <v>96</v>
      </c>
      <c r="AD3" s="41"/>
      <c r="AE3" s="36"/>
      <c r="AG3" s="20" t="s">
        <v>27</v>
      </c>
      <c r="AH3" s="9" t="s">
        <v>28</v>
      </c>
      <c r="AI3" s="1" t="s">
        <v>105</v>
      </c>
      <c r="AJ3" s="1" t="s">
        <v>102</v>
      </c>
      <c r="AK3" s="1" t="s">
        <v>105</v>
      </c>
      <c r="AL3" s="1" t="s">
        <v>102</v>
      </c>
    </row>
    <row r="4" spans="1:38">
      <c r="A4" s="66" t="s">
        <v>166</v>
      </c>
      <c r="B4" s="3" t="s">
        <v>27</v>
      </c>
      <c r="C4" s="4" t="s">
        <v>28</v>
      </c>
      <c r="D4" s="4" t="s">
        <v>33</v>
      </c>
      <c r="E4" s="5" t="s">
        <v>32</v>
      </c>
      <c r="G4" s="9" t="s">
        <v>29</v>
      </c>
      <c r="H4" s="5" t="s">
        <v>30</v>
      </c>
      <c r="J4" s="9" t="s">
        <v>51</v>
      </c>
      <c r="K4" s="5" t="s">
        <v>31</v>
      </c>
      <c r="M4" s="9" t="s">
        <v>33</v>
      </c>
      <c r="N4" s="14" t="s">
        <v>54</v>
      </c>
      <c r="P4" s="9" t="s">
        <v>32</v>
      </c>
      <c r="Q4" s="14" t="s">
        <v>54</v>
      </c>
      <c r="S4" s="9">
        <v>1</v>
      </c>
      <c r="T4" s="5">
        <v>15</v>
      </c>
      <c r="V4" s="9" t="s">
        <v>28</v>
      </c>
      <c r="W4" s="20" t="s">
        <v>27</v>
      </c>
      <c r="Y4" s="46" t="s">
        <v>89</v>
      </c>
      <c r="Z4" s="41" t="s">
        <v>90</v>
      </c>
      <c r="AA4" s="36" t="s">
        <v>91</v>
      </c>
      <c r="AC4" s="44" t="s">
        <v>97</v>
      </c>
      <c r="AD4" s="29" t="s">
        <v>98</v>
      </c>
      <c r="AE4" s="30" t="s">
        <v>99</v>
      </c>
      <c r="AG4" s="11">
        <v>14</v>
      </c>
      <c r="AH4" s="27">
        <v>4110</v>
      </c>
      <c r="AI4" s="22">
        <v>2.7</v>
      </c>
      <c r="AJ4" s="22">
        <v>2.7</v>
      </c>
      <c r="AK4" s="22"/>
      <c r="AL4" s="22"/>
    </row>
    <row r="5" spans="1:38">
      <c r="A5" s="112">
        <v>14</v>
      </c>
      <c r="B5" s="111">
        <v>14</v>
      </c>
      <c r="C5" s="24">
        <v>4110</v>
      </c>
      <c r="D5" s="24">
        <v>20</v>
      </c>
      <c r="E5" s="16">
        <v>25</v>
      </c>
      <c r="G5" s="10">
        <v>1</v>
      </c>
      <c r="H5" s="11">
        <v>1</v>
      </c>
      <c r="J5" s="10">
        <v>10</v>
      </c>
      <c r="K5" s="11">
        <v>1.1499999999999999</v>
      </c>
      <c r="M5" s="10">
        <v>1</v>
      </c>
      <c r="N5" s="16" t="s">
        <v>46</v>
      </c>
      <c r="P5" s="10">
        <v>1</v>
      </c>
      <c r="Q5" s="16" t="s">
        <v>46</v>
      </c>
      <c r="S5" s="10">
        <v>15</v>
      </c>
      <c r="T5" s="11">
        <v>15</v>
      </c>
      <c r="V5" s="27">
        <v>4110</v>
      </c>
      <c r="W5" s="11">
        <v>14</v>
      </c>
      <c r="Y5" s="44">
        <v>15</v>
      </c>
      <c r="Z5" s="29">
        <v>14</v>
      </c>
      <c r="AA5" s="30">
        <v>12</v>
      </c>
      <c r="AC5" s="44">
        <v>1</v>
      </c>
      <c r="AD5" s="29">
        <v>8</v>
      </c>
      <c r="AE5" s="30">
        <v>6</v>
      </c>
      <c r="AG5" s="11">
        <v>12</v>
      </c>
      <c r="AH5" s="27">
        <v>6530</v>
      </c>
      <c r="AI5" s="22">
        <v>1.7</v>
      </c>
      <c r="AJ5" s="22">
        <v>1.7</v>
      </c>
      <c r="AK5" s="22">
        <v>2.8</v>
      </c>
      <c r="AL5" s="22">
        <v>2.8</v>
      </c>
    </row>
    <row r="6" spans="1:38">
      <c r="A6" s="112">
        <v>12</v>
      </c>
      <c r="B6" s="111">
        <v>12</v>
      </c>
      <c r="C6" s="24">
        <v>6530</v>
      </c>
      <c r="D6" s="24">
        <v>25</v>
      </c>
      <c r="E6" s="16">
        <v>30</v>
      </c>
      <c r="G6" s="10">
        <v>2</v>
      </c>
      <c r="H6" s="11">
        <v>1</v>
      </c>
      <c r="J6" s="10">
        <v>11</v>
      </c>
      <c r="K6" s="11">
        <v>1.1200000000000001</v>
      </c>
      <c r="M6" s="15">
        <v>15</v>
      </c>
      <c r="N6" s="16">
        <v>14</v>
      </c>
      <c r="P6" s="15">
        <v>25</v>
      </c>
      <c r="Q6" s="16">
        <v>14</v>
      </c>
      <c r="S6" s="10">
        <v>15.01</v>
      </c>
      <c r="T6" s="11">
        <v>20</v>
      </c>
      <c r="V6" s="27">
        <v>6530</v>
      </c>
      <c r="W6" s="11">
        <v>12</v>
      </c>
      <c r="Y6" s="44">
        <v>20</v>
      </c>
      <c r="Z6" s="29">
        <v>12</v>
      </c>
      <c r="AA6" s="30">
        <v>10</v>
      </c>
      <c r="AC6" s="44">
        <v>66360</v>
      </c>
      <c r="AD6" s="29">
        <v>8</v>
      </c>
      <c r="AE6" s="30">
        <v>6</v>
      </c>
      <c r="AG6" s="11">
        <v>10</v>
      </c>
      <c r="AH6" s="27">
        <v>10380</v>
      </c>
      <c r="AI6" s="22">
        <v>1.1000000000000001</v>
      </c>
      <c r="AJ6" s="22">
        <v>1.1000000000000001</v>
      </c>
      <c r="AK6" s="22">
        <v>1.8</v>
      </c>
      <c r="AL6" s="22">
        <v>1.8</v>
      </c>
    </row>
    <row r="7" spans="1:38">
      <c r="A7" s="112">
        <v>10</v>
      </c>
      <c r="B7" s="111">
        <v>10</v>
      </c>
      <c r="C7" s="24">
        <v>10380</v>
      </c>
      <c r="D7" s="24">
        <v>35</v>
      </c>
      <c r="E7" s="16">
        <v>40</v>
      </c>
      <c r="G7" s="10">
        <v>3</v>
      </c>
      <c r="H7" s="11">
        <v>1</v>
      </c>
      <c r="J7" s="10">
        <v>12</v>
      </c>
      <c r="K7" s="11">
        <v>1.1200000000000001</v>
      </c>
      <c r="M7" s="17">
        <v>15.01</v>
      </c>
      <c r="N7" s="16" t="s">
        <v>39</v>
      </c>
      <c r="P7" s="17">
        <v>25.01</v>
      </c>
      <c r="Q7" s="16" t="s">
        <v>39</v>
      </c>
      <c r="S7" s="10">
        <v>20</v>
      </c>
      <c r="T7" s="11">
        <v>20</v>
      </c>
      <c r="V7" s="27">
        <v>10380</v>
      </c>
      <c r="W7" s="11">
        <v>10</v>
      </c>
      <c r="Y7" s="44">
        <v>25</v>
      </c>
      <c r="Z7" s="29">
        <v>10</v>
      </c>
      <c r="AA7" s="30">
        <v>8</v>
      </c>
      <c r="AC7" s="44">
        <v>66361</v>
      </c>
      <c r="AD7" s="29">
        <v>6</v>
      </c>
      <c r="AE7" s="30">
        <v>4</v>
      </c>
      <c r="AG7" s="11">
        <v>8</v>
      </c>
      <c r="AH7" s="27">
        <v>16510</v>
      </c>
      <c r="AI7" s="22">
        <v>0.69</v>
      </c>
      <c r="AJ7" s="22">
        <v>0.7</v>
      </c>
      <c r="AK7" s="22">
        <v>1.1000000000000001</v>
      </c>
      <c r="AL7" s="22">
        <v>1.1000000000000001</v>
      </c>
    </row>
    <row r="8" spans="1:38">
      <c r="A8" s="112">
        <v>8</v>
      </c>
      <c r="B8" s="111">
        <v>8</v>
      </c>
      <c r="C8" s="24">
        <v>16510</v>
      </c>
      <c r="D8" s="24">
        <v>50</v>
      </c>
      <c r="E8" s="16">
        <v>55</v>
      </c>
      <c r="G8" s="10">
        <v>4</v>
      </c>
      <c r="H8" s="11">
        <v>0.8</v>
      </c>
      <c r="J8" s="10">
        <v>13</v>
      </c>
      <c r="K8" s="11">
        <v>1.1200000000000001</v>
      </c>
      <c r="M8" s="15">
        <v>20</v>
      </c>
      <c r="N8" s="16" t="s">
        <v>39</v>
      </c>
      <c r="P8" s="15">
        <v>30</v>
      </c>
      <c r="Q8" s="16">
        <v>12</v>
      </c>
      <c r="S8" s="10">
        <v>20.010000000000002</v>
      </c>
      <c r="T8" s="11">
        <v>25</v>
      </c>
      <c r="V8" s="27">
        <v>16510</v>
      </c>
      <c r="W8" s="11">
        <v>8</v>
      </c>
      <c r="Y8" s="44">
        <v>30</v>
      </c>
      <c r="Z8" s="29">
        <v>10</v>
      </c>
      <c r="AA8" s="30">
        <v>8</v>
      </c>
      <c r="AC8" s="44">
        <v>105600</v>
      </c>
      <c r="AD8" s="29">
        <v>6</v>
      </c>
      <c r="AE8" s="30">
        <v>4</v>
      </c>
      <c r="AG8" s="11">
        <v>6</v>
      </c>
      <c r="AH8" s="27">
        <v>26240</v>
      </c>
      <c r="AI8" s="22">
        <v>0.44</v>
      </c>
      <c r="AJ8" s="22">
        <v>0.45</v>
      </c>
      <c r="AK8" s="22">
        <v>0.71</v>
      </c>
      <c r="AL8" s="22">
        <v>0.72</v>
      </c>
    </row>
    <row r="9" spans="1:38">
      <c r="A9" s="112">
        <v>6</v>
      </c>
      <c r="B9" s="111">
        <v>6</v>
      </c>
      <c r="C9" s="24">
        <v>26240</v>
      </c>
      <c r="D9" s="24">
        <v>65</v>
      </c>
      <c r="E9" s="16">
        <v>75</v>
      </c>
      <c r="G9" s="10">
        <v>5</v>
      </c>
      <c r="H9" s="11">
        <v>0.8</v>
      </c>
      <c r="J9" s="10">
        <v>14</v>
      </c>
      <c r="K9" s="11">
        <v>1.1200000000000001</v>
      </c>
      <c r="M9" s="17">
        <v>20.010000000000002</v>
      </c>
      <c r="N9" s="16" t="s">
        <v>38</v>
      </c>
      <c r="P9" s="17">
        <v>30.01</v>
      </c>
      <c r="Q9" s="16" t="s">
        <v>38</v>
      </c>
      <c r="S9" s="10">
        <v>25</v>
      </c>
      <c r="T9" s="11">
        <v>25</v>
      </c>
      <c r="V9" s="27">
        <v>26240</v>
      </c>
      <c r="W9" s="11">
        <v>6</v>
      </c>
      <c r="Y9" s="44">
        <v>35</v>
      </c>
      <c r="Z9" s="29">
        <v>10</v>
      </c>
      <c r="AA9" s="30">
        <v>8</v>
      </c>
      <c r="AC9" s="44">
        <v>105601</v>
      </c>
      <c r="AD9" s="29">
        <v>4</v>
      </c>
      <c r="AE9" s="30">
        <v>2</v>
      </c>
      <c r="AG9" s="11">
        <v>4</v>
      </c>
      <c r="AH9" s="27">
        <v>41740</v>
      </c>
      <c r="AI9" s="22">
        <v>0.28999999999999998</v>
      </c>
      <c r="AJ9" s="22">
        <v>0.3</v>
      </c>
      <c r="AK9" s="22">
        <v>0.46</v>
      </c>
      <c r="AL9" s="22">
        <v>0.46</v>
      </c>
    </row>
    <row r="10" spans="1:38">
      <c r="A10" s="112">
        <v>4</v>
      </c>
      <c r="B10" s="111">
        <v>4</v>
      </c>
      <c r="C10" s="24">
        <v>41740</v>
      </c>
      <c r="D10" s="24">
        <v>85</v>
      </c>
      <c r="E10" s="16">
        <v>95</v>
      </c>
      <c r="G10" s="10">
        <v>6</v>
      </c>
      <c r="H10" s="11">
        <v>0.8</v>
      </c>
      <c r="J10" s="10">
        <v>15</v>
      </c>
      <c r="K10" s="11">
        <v>1.1200000000000001</v>
      </c>
      <c r="M10" s="15">
        <v>30</v>
      </c>
      <c r="N10" s="16">
        <v>10</v>
      </c>
      <c r="P10" s="15">
        <v>40</v>
      </c>
      <c r="Q10" s="16">
        <v>10</v>
      </c>
      <c r="S10" s="10">
        <v>25.01</v>
      </c>
      <c r="T10" s="11">
        <v>30</v>
      </c>
      <c r="V10" s="27">
        <v>41740</v>
      </c>
      <c r="W10" s="11">
        <v>4</v>
      </c>
      <c r="Y10" s="44">
        <v>40</v>
      </c>
      <c r="Z10" s="29">
        <v>10</v>
      </c>
      <c r="AA10" s="30">
        <v>8</v>
      </c>
      <c r="AC10" s="44">
        <v>167800</v>
      </c>
      <c r="AD10" s="29">
        <v>4</v>
      </c>
      <c r="AE10" s="30">
        <v>2</v>
      </c>
      <c r="AG10" s="11">
        <v>3</v>
      </c>
      <c r="AH10" s="27">
        <v>52620</v>
      </c>
      <c r="AI10" s="22">
        <v>0.23</v>
      </c>
      <c r="AJ10" s="22">
        <v>0.24</v>
      </c>
      <c r="AK10" s="22">
        <v>0.37</v>
      </c>
      <c r="AL10" s="22">
        <v>0.37</v>
      </c>
    </row>
    <row r="11" spans="1:38">
      <c r="A11" s="112">
        <v>3</v>
      </c>
      <c r="B11" s="111">
        <v>3</v>
      </c>
      <c r="C11" s="24">
        <v>52620</v>
      </c>
      <c r="D11" s="24">
        <v>100</v>
      </c>
      <c r="E11" s="16">
        <v>115</v>
      </c>
      <c r="G11" s="10">
        <v>7</v>
      </c>
      <c r="H11" s="11">
        <v>0.7</v>
      </c>
      <c r="J11" s="10">
        <v>16</v>
      </c>
      <c r="K11" s="11">
        <v>1.08</v>
      </c>
      <c r="M11" s="17">
        <v>30.01</v>
      </c>
      <c r="N11" s="16" t="s">
        <v>8</v>
      </c>
      <c r="P11" s="17">
        <v>40.01</v>
      </c>
      <c r="Q11" s="16" t="s">
        <v>8</v>
      </c>
      <c r="S11" s="10">
        <v>30</v>
      </c>
      <c r="T11" s="11">
        <v>30</v>
      </c>
      <c r="V11" s="27">
        <v>52620</v>
      </c>
      <c r="W11" s="11">
        <v>3</v>
      </c>
      <c r="Y11" s="44">
        <v>45</v>
      </c>
      <c r="Z11" s="29">
        <v>10</v>
      </c>
      <c r="AA11" s="30">
        <v>8</v>
      </c>
      <c r="AC11" s="44">
        <v>167801</v>
      </c>
      <c r="AD11" s="29">
        <v>2</v>
      </c>
      <c r="AE11" s="55" t="s">
        <v>4</v>
      </c>
      <c r="AG11" s="11">
        <v>2</v>
      </c>
      <c r="AH11" s="27">
        <v>66360</v>
      </c>
      <c r="AI11" s="22">
        <v>0.19</v>
      </c>
      <c r="AJ11" s="22">
        <v>0.2</v>
      </c>
      <c r="AK11" s="22">
        <v>0.3</v>
      </c>
      <c r="AL11" s="22">
        <v>0.3</v>
      </c>
    </row>
    <row r="12" spans="1:38">
      <c r="A12" s="112">
        <v>2</v>
      </c>
      <c r="B12" s="111">
        <v>2</v>
      </c>
      <c r="C12" s="24">
        <v>66360</v>
      </c>
      <c r="D12" s="24">
        <v>115</v>
      </c>
      <c r="E12" s="16">
        <v>130</v>
      </c>
      <c r="G12" s="10">
        <v>8</v>
      </c>
      <c r="H12" s="11">
        <v>0.7</v>
      </c>
      <c r="J12" s="10">
        <v>17</v>
      </c>
      <c r="K12" s="11">
        <v>1.08</v>
      </c>
      <c r="M12" s="15">
        <v>50</v>
      </c>
      <c r="N12" s="16" t="s">
        <v>8</v>
      </c>
      <c r="P12" s="15">
        <v>55</v>
      </c>
      <c r="Q12" s="16" t="s">
        <v>8</v>
      </c>
      <c r="S12" s="10">
        <v>30.01</v>
      </c>
      <c r="T12" s="11">
        <v>35</v>
      </c>
      <c r="V12" s="27">
        <v>66360</v>
      </c>
      <c r="W12" s="11">
        <v>2</v>
      </c>
      <c r="Y12" s="44">
        <v>50</v>
      </c>
      <c r="Z12" s="29">
        <v>10</v>
      </c>
      <c r="AA12" s="30">
        <v>8</v>
      </c>
      <c r="AC12" s="44">
        <v>350000</v>
      </c>
      <c r="AD12" s="29">
        <v>2</v>
      </c>
      <c r="AE12" s="55" t="s">
        <v>4</v>
      </c>
      <c r="AG12" s="11">
        <v>1</v>
      </c>
      <c r="AH12" s="27">
        <v>83690</v>
      </c>
      <c r="AI12" s="22">
        <v>0.16</v>
      </c>
      <c r="AJ12" s="22">
        <v>0.16</v>
      </c>
      <c r="AK12" s="22">
        <v>0.24</v>
      </c>
      <c r="AL12" s="22">
        <v>0.25</v>
      </c>
    </row>
    <row r="13" spans="1:38">
      <c r="A13" s="112">
        <v>1</v>
      </c>
      <c r="B13" s="111">
        <v>1</v>
      </c>
      <c r="C13" s="24">
        <v>83690</v>
      </c>
      <c r="D13" s="24">
        <v>130</v>
      </c>
      <c r="E13" s="16">
        <v>145</v>
      </c>
      <c r="G13" s="10">
        <v>9</v>
      </c>
      <c r="H13" s="11">
        <v>0.7</v>
      </c>
      <c r="J13" s="10">
        <v>18</v>
      </c>
      <c r="K13" s="11">
        <v>1.08</v>
      </c>
      <c r="M13" s="17">
        <v>50.01</v>
      </c>
      <c r="N13" s="16" t="s">
        <v>36</v>
      </c>
      <c r="P13" s="17">
        <v>55.01</v>
      </c>
      <c r="Q13" s="16" t="s">
        <v>36</v>
      </c>
      <c r="S13" s="10">
        <v>35</v>
      </c>
      <c r="T13" s="11">
        <v>35</v>
      </c>
      <c r="V13" s="27">
        <v>83690</v>
      </c>
      <c r="W13" s="11">
        <v>1</v>
      </c>
      <c r="Y13" s="44">
        <v>60</v>
      </c>
      <c r="Z13" s="29">
        <v>10</v>
      </c>
      <c r="AA13" s="30">
        <v>8</v>
      </c>
      <c r="AC13" s="44">
        <v>350001</v>
      </c>
      <c r="AD13" s="57" t="s">
        <v>4</v>
      </c>
      <c r="AE13" s="55" t="s">
        <v>6</v>
      </c>
      <c r="AG13" s="11" t="s">
        <v>4</v>
      </c>
      <c r="AH13" s="27">
        <v>105600</v>
      </c>
      <c r="AI13" s="22">
        <v>0.13</v>
      </c>
      <c r="AJ13" s="22">
        <v>0.13</v>
      </c>
      <c r="AK13" s="22">
        <v>0.19</v>
      </c>
      <c r="AL13" s="22">
        <v>0.2</v>
      </c>
    </row>
    <row r="14" spans="1:38">
      <c r="A14" s="113" t="s">
        <v>4</v>
      </c>
      <c r="B14" s="7" t="s">
        <v>4</v>
      </c>
      <c r="C14" s="24">
        <v>105600</v>
      </c>
      <c r="D14" s="24">
        <v>150</v>
      </c>
      <c r="E14" s="16">
        <v>170</v>
      </c>
      <c r="G14" s="10">
        <v>10</v>
      </c>
      <c r="H14" s="11">
        <v>0.5</v>
      </c>
      <c r="J14" s="10">
        <v>19</v>
      </c>
      <c r="K14" s="11">
        <v>1.08</v>
      </c>
      <c r="M14" s="15">
        <v>65</v>
      </c>
      <c r="N14" s="16" t="s">
        <v>36</v>
      </c>
      <c r="P14" s="15">
        <v>75</v>
      </c>
      <c r="Q14" s="16" t="s">
        <v>36</v>
      </c>
      <c r="S14" s="10">
        <v>35.01</v>
      </c>
      <c r="T14" s="11">
        <v>40</v>
      </c>
      <c r="V14" s="27">
        <v>105600</v>
      </c>
      <c r="W14" s="11" t="s">
        <v>4</v>
      </c>
      <c r="Y14" s="44">
        <v>70</v>
      </c>
      <c r="Z14" s="29">
        <v>8</v>
      </c>
      <c r="AA14" s="30">
        <v>6</v>
      </c>
      <c r="AC14" s="44">
        <v>600000</v>
      </c>
      <c r="AD14" s="57" t="s">
        <v>4</v>
      </c>
      <c r="AE14" s="55" t="s">
        <v>6</v>
      </c>
      <c r="AG14" s="11" t="s">
        <v>5</v>
      </c>
      <c r="AH14" s="27">
        <v>133100</v>
      </c>
      <c r="AI14" s="22">
        <v>0.11</v>
      </c>
      <c r="AJ14" s="22">
        <v>0.11</v>
      </c>
      <c r="AK14" s="22">
        <v>0.16</v>
      </c>
      <c r="AL14" s="22">
        <v>0.16</v>
      </c>
    </row>
    <row r="15" spans="1:38">
      <c r="A15" s="113" t="s">
        <v>5</v>
      </c>
      <c r="B15" s="7" t="s">
        <v>5</v>
      </c>
      <c r="C15" s="24">
        <v>133100</v>
      </c>
      <c r="D15" s="24">
        <v>175</v>
      </c>
      <c r="E15" s="16">
        <v>195</v>
      </c>
      <c r="G15" s="10">
        <v>11</v>
      </c>
      <c r="H15" s="11">
        <v>0.5</v>
      </c>
      <c r="J15" s="10">
        <v>20</v>
      </c>
      <c r="K15" s="11">
        <v>1.08</v>
      </c>
      <c r="M15" s="17">
        <v>65.010000000000005</v>
      </c>
      <c r="N15" s="16" t="s">
        <v>37</v>
      </c>
      <c r="P15" s="17">
        <v>75.010000000000005</v>
      </c>
      <c r="Q15" s="16" t="s">
        <v>37</v>
      </c>
      <c r="S15" s="10">
        <v>40</v>
      </c>
      <c r="T15" s="11">
        <v>40</v>
      </c>
      <c r="V15" s="27">
        <v>133100</v>
      </c>
      <c r="W15" s="11" t="s">
        <v>5</v>
      </c>
      <c r="Y15" s="44">
        <v>80</v>
      </c>
      <c r="Z15" s="29">
        <v>8</v>
      </c>
      <c r="AA15" s="30">
        <v>6</v>
      </c>
      <c r="AC15" s="44">
        <v>600001</v>
      </c>
      <c r="AD15" s="57" t="s">
        <v>5</v>
      </c>
      <c r="AE15" s="55" t="s">
        <v>7</v>
      </c>
      <c r="AG15" s="11" t="s">
        <v>6</v>
      </c>
      <c r="AH15" s="27">
        <v>167800</v>
      </c>
      <c r="AI15" s="63">
        <v>8.7999999999999995E-2</v>
      </c>
      <c r="AJ15" s="63">
        <v>9.4E-2</v>
      </c>
      <c r="AK15" s="63">
        <v>0.13</v>
      </c>
      <c r="AL15" s="63">
        <v>0.14000000000000001</v>
      </c>
    </row>
    <row r="16" spans="1:38">
      <c r="A16" s="113" t="s">
        <v>6</v>
      </c>
      <c r="B16" s="7" t="s">
        <v>6</v>
      </c>
      <c r="C16" s="24">
        <v>167800</v>
      </c>
      <c r="D16" s="24">
        <v>200</v>
      </c>
      <c r="E16" s="16">
        <v>225</v>
      </c>
      <c r="G16" s="10">
        <v>12</v>
      </c>
      <c r="H16" s="11">
        <v>0.5</v>
      </c>
      <c r="J16" s="10">
        <v>21</v>
      </c>
      <c r="K16" s="11">
        <v>1.04</v>
      </c>
      <c r="M16" s="15">
        <v>85</v>
      </c>
      <c r="N16" s="16" t="s">
        <v>37</v>
      </c>
      <c r="P16" s="15">
        <v>95</v>
      </c>
      <c r="Q16" s="16">
        <v>4</v>
      </c>
      <c r="S16" s="10">
        <v>40.01</v>
      </c>
      <c r="T16" s="11">
        <v>45</v>
      </c>
      <c r="V16" s="27">
        <v>167800</v>
      </c>
      <c r="W16" s="11" t="s">
        <v>6</v>
      </c>
      <c r="Y16" s="44">
        <v>90</v>
      </c>
      <c r="Z16" s="29">
        <v>8</v>
      </c>
      <c r="AA16" s="30">
        <v>6</v>
      </c>
      <c r="AC16" s="44">
        <v>1100000</v>
      </c>
      <c r="AD16" s="57" t="s">
        <v>5</v>
      </c>
      <c r="AE16" s="55" t="s">
        <v>7</v>
      </c>
      <c r="AG16" s="11" t="s">
        <v>7</v>
      </c>
      <c r="AH16" s="27">
        <v>211600</v>
      </c>
      <c r="AI16" s="63">
        <v>7.3999999999999996E-2</v>
      </c>
      <c r="AJ16" s="63">
        <v>0.08</v>
      </c>
      <c r="AK16" s="63">
        <v>0.11</v>
      </c>
      <c r="AL16" s="63">
        <v>0.11</v>
      </c>
    </row>
    <row r="17" spans="1:38">
      <c r="A17" s="113" t="s">
        <v>7</v>
      </c>
      <c r="B17" s="7" t="s">
        <v>7</v>
      </c>
      <c r="C17" s="24">
        <v>211600</v>
      </c>
      <c r="D17" s="24">
        <v>230</v>
      </c>
      <c r="E17" s="16">
        <v>260</v>
      </c>
      <c r="G17" s="10">
        <v>13</v>
      </c>
      <c r="H17" s="11">
        <v>0.5</v>
      </c>
      <c r="J17" s="10">
        <v>22</v>
      </c>
      <c r="K17" s="11">
        <v>1.04</v>
      </c>
      <c r="M17" s="17">
        <v>85.01</v>
      </c>
      <c r="N17" s="16" t="s">
        <v>40</v>
      </c>
      <c r="P17" s="17">
        <v>95.01</v>
      </c>
      <c r="Q17" s="16" t="s">
        <v>40</v>
      </c>
      <c r="S17" s="10">
        <v>45</v>
      </c>
      <c r="T17" s="11">
        <v>45</v>
      </c>
      <c r="V17" s="27">
        <v>211600</v>
      </c>
      <c r="W17" s="11" t="s">
        <v>7</v>
      </c>
      <c r="Y17" s="44">
        <v>100</v>
      </c>
      <c r="Z17" s="29">
        <v>8</v>
      </c>
      <c r="AA17" s="30">
        <v>6</v>
      </c>
      <c r="AC17" s="44">
        <v>1100001</v>
      </c>
      <c r="AD17" s="57" t="s">
        <v>6</v>
      </c>
      <c r="AE17" s="30">
        <v>250</v>
      </c>
      <c r="AG17" s="11" t="s">
        <v>10</v>
      </c>
      <c r="AH17" s="27">
        <v>250000</v>
      </c>
      <c r="AI17" s="63"/>
      <c r="AJ17" s="63"/>
      <c r="AK17" s="63"/>
      <c r="AL17" s="63"/>
    </row>
    <row r="18" spans="1:38" ht="16" thickBot="1">
      <c r="A18" s="114" t="s">
        <v>10</v>
      </c>
      <c r="B18" s="6" t="s">
        <v>10</v>
      </c>
      <c r="C18" s="24">
        <v>250000</v>
      </c>
      <c r="D18" s="24">
        <v>255</v>
      </c>
      <c r="E18" s="16">
        <v>290</v>
      </c>
      <c r="G18" s="10">
        <v>14</v>
      </c>
      <c r="H18" s="11">
        <v>0.5</v>
      </c>
      <c r="J18" s="10">
        <v>23</v>
      </c>
      <c r="K18" s="11">
        <v>1.04</v>
      </c>
      <c r="M18" s="15">
        <v>100</v>
      </c>
      <c r="N18" s="16" t="s">
        <v>40</v>
      </c>
      <c r="P18" s="15">
        <v>115</v>
      </c>
      <c r="Q18" s="16">
        <v>3</v>
      </c>
      <c r="S18" s="10">
        <v>45.01</v>
      </c>
      <c r="T18" s="11">
        <v>50</v>
      </c>
      <c r="V18" s="27">
        <v>250000</v>
      </c>
      <c r="W18" s="11" t="s">
        <v>10</v>
      </c>
      <c r="Y18" s="44">
        <v>110</v>
      </c>
      <c r="Z18" s="29">
        <v>6</v>
      </c>
      <c r="AA18" s="30">
        <v>4</v>
      </c>
      <c r="AC18" s="45" t="s">
        <v>100</v>
      </c>
      <c r="AD18" s="60" t="s">
        <v>6</v>
      </c>
      <c r="AE18" s="59">
        <v>250</v>
      </c>
      <c r="AG18" s="11" t="s">
        <v>11</v>
      </c>
      <c r="AH18" s="27">
        <v>300000</v>
      </c>
      <c r="AI18" s="63"/>
      <c r="AJ18" s="63"/>
      <c r="AK18" s="63"/>
      <c r="AL18" s="63"/>
    </row>
    <row r="19" spans="1:38">
      <c r="A19" s="114" t="s">
        <v>11</v>
      </c>
      <c r="B19" s="6" t="s">
        <v>11</v>
      </c>
      <c r="C19" s="24">
        <v>300000</v>
      </c>
      <c r="D19" s="24">
        <v>285</v>
      </c>
      <c r="E19" s="16">
        <v>320</v>
      </c>
      <c r="G19" s="10">
        <v>15</v>
      </c>
      <c r="H19" s="11">
        <v>0.5</v>
      </c>
      <c r="J19" s="10">
        <v>24</v>
      </c>
      <c r="K19" s="11">
        <v>1.04</v>
      </c>
      <c r="M19" s="17">
        <v>100.01</v>
      </c>
      <c r="N19" s="16" t="s">
        <v>41</v>
      </c>
      <c r="P19" s="17">
        <v>115.01</v>
      </c>
      <c r="Q19" s="16" t="s">
        <v>41</v>
      </c>
      <c r="S19" s="10">
        <v>50</v>
      </c>
      <c r="T19" s="11">
        <v>50</v>
      </c>
      <c r="V19" s="27">
        <v>300000</v>
      </c>
      <c r="W19" s="11" t="s">
        <v>11</v>
      </c>
      <c r="Y19" s="44">
        <v>125</v>
      </c>
      <c r="Z19" s="29">
        <v>6</v>
      </c>
      <c r="AA19" s="30">
        <v>4</v>
      </c>
      <c r="AG19" s="11" t="s">
        <v>12</v>
      </c>
      <c r="AH19" s="27">
        <v>350000</v>
      </c>
      <c r="AI19" s="63"/>
      <c r="AJ19" s="63"/>
      <c r="AK19" s="63"/>
      <c r="AL19" s="63"/>
    </row>
    <row r="20" spans="1:38">
      <c r="A20" s="114" t="s">
        <v>12</v>
      </c>
      <c r="B20" s="6" t="s">
        <v>12</v>
      </c>
      <c r="C20" s="24">
        <v>350000</v>
      </c>
      <c r="D20" s="24">
        <v>310</v>
      </c>
      <c r="E20" s="16">
        <v>350</v>
      </c>
      <c r="G20" s="10">
        <v>16</v>
      </c>
      <c r="H20" s="11">
        <v>0.5</v>
      </c>
      <c r="J20" s="10">
        <v>25</v>
      </c>
      <c r="K20" s="11">
        <v>1.04</v>
      </c>
      <c r="M20" s="15">
        <v>115</v>
      </c>
      <c r="N20" s="16" t="s">
        <v>41</v>
      </c>
      <c r="P20" s="15">
        <v>130</v>
      </c>
      <c r="Q20" s="16">
        <v>2</v>
      </c>
      <c r="S20" s="10">
        <v>50.01</v>
      </c>
      <c r="T20" s="11">
        <v>60</v>
      </c>
      <c r="V20" s="27">
        <v>350000</v>
      </c>
      <c r="W20" s="11" t="s">
        <v>12</v>
      </c>
      <c r="Y20" s="44">
        <v>150</v>
      </c>
      <c r="Z20" s="29">
        <v>6</v>
      </c>
      <c r="AA20" s="30">
        <v>4</v>
      </c>
      <c r="AG20" s="11" t="s">
        <v>13</v>
      </c>
      <c r="AH20" s="27">
        <v>400000</v>
      </c>
      <c r="AI20" s="63"/>
      <c r="AJ20" s="63"/>
      <c r="AK20" s="63"/>
      <c r="AL20" s="63"/>
    </row>
    <row r="21" spans="1:38">
      <c r="A21" s="114" t="s">
        <v>13</v>
      </c>
      <c r="B21" s="6" t="s">
        <v>13</v>
      </c>
      <c r="C21" s="24">
        <v>400000</v>
      </c>
      <c r="D21" s="24">
        <v>335</v>
      </c>
      <c r="E21" s="16">
        <v>380</v>
      </c>
      <c r="G21" s="10">
        <v>17</v>
      </c>
      <c r="H21" s="11">
        <v>0.5</v>
      </c>
      <c r="J21" s="10">
        <v>26</v>
      </c>
      <c r="K21" s="11">
        <v>1</v>
      </c>
      <c r="M21" s="17">
        <v>115.01</v>
      </c>
      <c r="N21" s="16" t="s">
        <v>42</v>
      </c>
      <c r="P21" s="17">
        <v>130.01</v>
      </c>
      <c r="Q21" s="16" t="s">
        <v>42</v>
      </c>
      <c r="S21" s="10">
        <v>60</v>
      </c>
      <c r="T21" s="11">
        <v>60</v>
      </c>
      <c r="V21" s="27">
        <v>400000</v>
      </c>
      <c r="W21" s="11" t="s">
        <v>13</v>
      </c>
      <c r="Y21" s="44">
        <v>175</v>
      </c>
      <c r="Z21" s="29">
        <v>6</v>
      </c>
      <c r="AA21" s="30">
        <v>4</v>
      </c>
      <c r="AG21" s="11" t="s">
        <v>14</v>
      </c>
      <c r="AH21" s="27">
        <v>500000</v>
      </c>
      <c r="AI21" s="63"/>
      <c r="AJ21" s="63"/>
      <c r="AK21" s="63"/>
      <c r="AL21" s="63"/>
    </row>
    <row r="22" spans="1:38">
      <c r="A22" s="114" t="s">
        <v>14</v>
      </c>
      <c r="B22" s="6" t="s">
        <v>14</v>
      </c>
      <c r="C22" s="24">
        <v>500000</v>
      </c>
      <c r="D22" s="24">
        <v>380</v>
      </c>
      <c r="E22" s="16">
        <v>430</v>
      </c>
      <c r="G22" s="10">
        <v>18</v>
      </c>
      <c r="H22" s="11">
        <v>0.5</v>
      </c>
      <c r="J22" s="10">
        <v>27</v>
      </c>
      <c r="K22" s="11">
        <v>1</v>
      </c>
      <c r="M22" s="15">
        <v>130</v>
      </c>
      <c r="N22" s="16" t="s">
        <v>42</v>
      </c>
      <c r="P22" s="15">
        <v>145</v>
      </c>
      <c r="Q22" s="16">
        <v>1</v>
      </c>
      <c r="S22" s="10">
        <v>60.01</v>
      </c>
      <c r="T22" s="11">
        <v>70</v>
      </c>
      <c r="V22" s="27">
        <v>500000</v>
      </c>
      <c r="W22" s="11" t="s">
        <v>14</v>
      </c>
      <c r="Y22" s="44">
        <v>200</v>
      </c>
      <c r="Z22" s="29">
        <v>6</v>
      </c>
      <c r="AA22" s="30">
        <v>4</v>
      </c>
      <c r="AG22" s="11" t="s">
        <v>15</v>
      </c>
      <c r="AH22" s="27">
        <v>600000</v>
      </c>
      <c r="AI22" s="63"/>
      <c r="AJ22" s="63"/>
      <c r="AK22" s="63"/>
      <c r="AL22" s="63"/>
    </row>
    <row r="23" spans="1:38">
      <c r="A23" s="114" t="s">
        <v>15</v>
      </c>
      <c r="B23" s="6" t="s">
        <v>15</v>
      </c>
      <c r="C23" s="24">
        <v>600000</v>
      </c>
      <c r="D23" s="24">
        <v>420</v>
      </c>
      <c r="E23" s="16">
        <v>475</v>
      </c>
      <c r="G23" s="10">
        <v>19</v>
      </c>
      <c r="H23" s="11">
        <v>0.5</v>
      </c>
      <c r="J23" s="10">
        <v>28</v>
      </c>
      <c r="K23" s="11">
        <v>1</v>
      </c>
      <c r="M23" s="17">
        <v>130.01</v>
      </c>
      <c r="N23" s="16" t="s">
        <v>4</v>
      </c>
      <c r="P23" s="17">
        <v>145.01</v>
      </c>
      <c r="Q23" s="16" t="s">
        <v>4</v>
      </c>
      <c r="S23" s="10">
        <v>70</v>
      </c>
      <c r="T23" s="11">
        <v>70</v>
      </c>
      <c r="V23" s="27">
        <v>600000</v>
      </c>
      <c r="W23" s="11" t="s">
        <v>15</v>
      </c>
      <c r="Y23" s="44">
        <v>225</v>
      </c>
      <c r="Z23" s="29">
        <v>4</v>
      </c>
      <c r="AA23" s="30">
        <v>2</v>
      </c>
      <c r="AG23" s="11" t="s">
        <v>16</v>
      </c>
      <c r="AH23" s="27">
        <v>700000</v>
      </c>
      <c r="AI23" s="63"/>
      <c r="AJ23" s="63"/>
      <c r="AK23" s="63"/>
      <c r="AL23" s="63"/>
    </row>
    <row r="24" spans="1:38">
      <c r="A24" s="114" t="s">
        <v>17</v>
      </c>
      <c r="B24" s="6" t="s">
        <v>16</v>
      </c>
      <c r="C24" s="24">
        <v>700000</v>
      </c>
      <c r="D24" s="24">
        <v>460</v>
      </c>
      <c r="E24" s="16">
        <v>520</v>
      </c>
      <c r="G24" s="10">
        <v>20</v>
      </c>
      <c r="H24" s="11">
        <v>0.5</v>
      </c>
      <c r="J24" s="10">
        <v>29</v>
      </c>
      <c r="K24" s="11">
        <v>1</v>
      </c>
      <c r="M24" s="15">
        <v>150</v>
      </c>
      <c r="N24" s="18" t="s">
        <v>4</v>
      </c>
      <c r="P24" s="15">
        <v>170</v>
      </c>
      <c r="Q24" s="18" t="s">
        <v>4</v>
      </c>
      <c r="S24" s="10">
        <v>70.010000000000005</v>
      </c>
      <c r="T24" s="11">
        <v>80</v>
      </c>
      <c r="V24" s="27">
        <v>700000</v>
      </c>
      <c r="W24" s="11" t="s">
        <v>16</v>
      </c>
      <c r="Y24" s="44">
        <v>250</v>
      </c>
      <c r="Z24" s="29">
        <v>4</v>
      </c>
      <c r="AA24" s="30">
        <v>2</v>
      </c>
      <c r="AG24" s="11" t="s">
        <v>17</v>
      </c>
      <c r="AH24" s="27">
        <v>750000</v>
      </c>
      <c r="AI24" s="63"/>
      <c r="AJ24" s="63"/>
      <c r="AK24" s="63"/>
      <c r="AL24" s="63"/>
    </row>
    <row r="25" spans="1:38">
      <c r="A25" s="21" t="s">
        <v>20</v>
      </c>
      <c r="B25" s="6" t="s">
        <v>17</v>
      </c>
      <c r="C25" s="24">
        <v>750000</v>
      </c>
      <c r="D25" s="24">
        <v>475</v>
      </c>
      <c r="E25" s="16">
        <v>535</v>
      </c>
      <c r="G25" s="10">
        <v>21</v>
      </c>
      <c r="H25" s="11">
        <v>0.45</v>
      </c>
      <c r="J25" s="10">
        <v>30</v>
      </c>
      <c r="K25" s="11">
        <v>1</v>
      </c>
      <c r="M25" s="17">
        <v>150.01</v>
      </c>
      <c r="N25" s="18" t="s">
        <v>5</v>
      </c>
      <c r="P25" s="17">
        <v>170.01</v>
      </c>
      <c r="Q25" s="18" t="s">
        <v>5</v>
      </c>
      <c r="S25" s="10">
        <v>80</v>
      </c>
      <c r="T25" s="11">
        <v>80</v>
      </c>
      <c r="V25" s="27">
        <v>750000</v>
      </c>
      <c r="W25" s="11" t="s">
        <v>17</v>
      </c>
      <c r="Y25" s="44">
        <v>300</v>
      </c>
      <c r="Z25" s="29">
        <v>4</v>
      </c>
      <c r="AA25" s="30">
        <v>2</v>
      </c>
      <c r="AG25" s="11" t="s">
        <v>18</v>
      </c>
      <c r="AH25" s="27">
        <v>800000</v>
      </c>
      <c r="AI25" s="63"/>
      <c r="AJ25" s="63"/>
      <c r="AK25" s="63"/>
      <c r="AL25" s="63"/>
    </row>
    <row r="26" spans="1:38">
      <c r="A26" s="6"/>
      <c r="B26" s="6" t="s">
        <v>18</v>
      </c>
      <c r="C26" s="24">
        <v>800000</v>
      </c>
      <c r="D26" s="24">
        <v>490</v>
      </c>
      <c r="E26" s="16">
        <v>555</v>
      </c>
      <c r="G26" s="10">
        <v>22</v>
      </c>
      <c r="H26" s="11">
        <v>0.45</v>
      </c>
      <c r="J26" s="10">
        <v>31</v>
      </c>
      <c r="K26" s="11">
        <v>0.96</v>
      </c>
      <c r="M26" s="15">
        <v>175</v>
      </c>
      <c r="N26" s="18" t="s">
        <v>5</v>
      </c>
      <c r="P26" s="15">
        <v>195</v>
      </c>
      <c r="Q26" s="18" t="s">
        <v>5</v>
      </c>
      <c r="S26" s="10">
        <v>80.010000000000005</v>
      </c>
      <c r="T26" s="11">
        <v>90</v>
      </c>
      <c r="V26" s="27">
        <v>800000</v>
      </c>
      <c r="W26" s="11" t="s">
        <v>18</v>
      </c>
      <c r="Y26" s="44">
        <v>350</v>
      </c>
      <c r="Z26" s="29">
        <v>3</v>
      </c>
      <c r="AA26" s="30">
        <v>1</v>
      </c>
      <c r="AG26" s="11" t="s">
        <v>19</v>
      </c>
      <c r="AH26" s="27">
        <v>900000</v>
      </c>
      <c r="AI26" s="63"/>
      <c r="AJ26" s="63"/>
      <c r="AK26" s="63"/>
      <c r="AL26" s="63"/>
    </row>
    <row r="27" spans="1:38">
      <c r="A27" s="6"/>
      <c r="B27" s="6" t="s">
        <v>19</v>
      </c>
      <c r="C27" s="24">
        <v>900000</v>
      </c>
      <c r="D27" s="24">
        <v>520</v>
      </c>
      <c r="E27" s="16">
        <v>585</v>
      </c>
      <c r="G27" s="10">
        <v>23</v>
      </c>
      <c r="H27" s="11">
        <v>0.45</v>
      </c>
      <c r="J27" s="10">
        <v>32</v>
      </c>
      <c r="K27" s="11">
        <v>0.96</v>
      </c>
      <c r="M27" s="17">
        <v>175.01</v>
      </c>
      <c r="N27" s="18" t="s">
        <v>6</v>
      </c>
      <c r="P27" s="17">
        <v>195.01</v>
      </c>
      <c r="Q27" s="18" t="s">
        <v>6</v>
      </c>
      <c r="S27" s="10">
        <v>90</v>
      </c>
      <c r="T27" s="11">
        <v>90</v>
      </c>
      <c r="V27" s="27">
        <v>900000</v>
      </c>
      <c r="W27" s="11" t="s">
        <v>19</v>
      </c>
      <c r="Y27" s="44">
        <v>400</v>
      </c>
      <c r="Z27" s="29">
        <v>3</v>
      </c>
      <c r="AA27" s="30">
        <v>1</v>
      </c>
      <c r="AG27" s="11" t="s">
        <v>20</v>
      </c>
      <c r="AH27" s="27">
        <v>100000</v>
      </c>
      <c r="AI27" s="63"/>
      <c r="AJ27" s="63"/>
      <c r="AK27" s="63"/>
      <c r="AL27" s="63"/>
    </row>
    <row r="28" spans="1:38">
      <c r="A28" s="6"/>
      <c r="B28" s="6" t="s">
        <v>20</v>
      </c>
      <c r="C28" s="24">
        <v>100000</v>
      </c>
      <c r="D28" s="24">
        <v>545</v>
      </c>
      <c r="E28" s="16">
        <v>615</v>
      </c>
      <c r="G28" s="10">
        <v>24</v>
      </c>
      <c r="H28" s="11">
        <v>0.45</v>
      </c>
      <c r="J28" s="10">
        <v>33</v>
      </c>
      <c r="K28" s="11">
        <v>0.96</v>
      </c>
      <c r="M28" s="15">
        <v>200</v>
      </c>
      <c r="N28" s="18" t="s">
        <v>6</v>
      </c>
      <c r="P28" s="15">
        <v>225</v>
      </c>
      <c r="Q28" s="18" t="s">
        <v>6</v>
      </c>
      <c r="S28" s="10">
        <v>90.01</v>
      </c>
      <c r="T28" s="11">
        <v>100</v>
      </c>
      <c r="V28" s="27">
        <v>100000</v>
      </c>
      <c r="W28" s="11" t="s">
        <v>20</v>
      </c>
      <c r="Y28" s="44">
        <v>450</v>
      </c>
      <c r="Z28" s="29">
        <v>2</v>
      </c>
      <c r="AA28" s="55" t="s">
        <v>4</v>
      </c>
      <c r="AG28" s="11" t="s">
        <v>21</v>
      </c>
      <c r="AH28" s="27">
        <v>1250000</v>
      </c>
      <c r="AI28" s="63"/>
      <c r="AJ28" s="63"/>
      <c r="AK28" s="63"/>
      <c r="AL28" s="63"/>
    </row>
    <row r="29" spans="1:38">
      <c r="A29" s="6"/>
      <c r="B29" s="6" t="s">
        <v>21</v>
      </c>
      <c r="C29" s="24">
        <v>1250000</v>
      </c>
      <c r="D29" s="24">
        <v>590</v>
      </c>
      <c r="E29" s="16">
        <v>665</v>
      </c>
      <c r="G29" s="10">
        <v>25</v>
      </c>
      <c r="H29" s="11">
        <v>0.45</v>
      </c>
      <c r="J29" s="10">
        <v>34</v>
      </c>
      <c r="K29" s="11">
        <v>0.96</v>
      </c>
      <c r="M29" s="17">
        <v>200.01</v>
      </c>
      <c r="N29" s="18" t="s">
        <v>7</v>
      </c>
      <c r="P29" s="17">
        <v>225.01</v>
      </c>
      <c r="Q29" s="18" t="s">
        <v>7</v>
      </c>
      <c r="S29" s="10">
        <v>100</v>
      </c>
      <c r="T29" s="11">
        <v>100</v>
      </c>
      <c r="V29" s="27">
        <v>1250000</v>
      </c>
      <c r="W29" s="11" t="s">
        <v>21</v>
      </c>
      <c r="Y29" s="44">
        <v>500</v>
      </c>
      <c r="Z29" s="29">
        <v>2</v>
      </c>
      <c r="AA29" s="55" t="s">
        <v>4</v>
      </c>
      <c r="AG29" s="11" t="s">
        <v>22</v>
      </c>
      <c r="AH29" s="27">
        <v>1500000</v>
      </c>
      <c r="AI29" s="63"/>
      <c r="AJ29" s="63"/>
      <c r="AK29" s="63"/>
      <c r="AL29" s="63"/>
    </row>
    <row r="30" spans="1:38">
      <c r="A30" s="6"/>
      <c r="B30" s="6" t="s">
        <v>22</v>
      </c>
      <c r="C30" s="24">
        <v>1500000</v>
      </c>
      <c r="D30" s="24">
        <v>625</v>
      </c>
      <c r="E30" s="16">
        <v>705</v>
      </c>
      <c r="G30" s="10">
        <v>26</v>
      </c>
      <c r="H30" s="11">
        <v>0.45</v>
      </c>
      <c r="J30" s="10">
        <v>35</v>
      </c>
      <c r="K30" s="11">
        <v>0.96</v>
      </c>
      <c r="M30" s="15">
        <v>230</v>
      </c>
      <c r="N30" s="18" t="s">
        <v>7</v>
      </c>
      <c r="P30" s="15">
        <v>260</v>
      </c>
      <c r="Q30" s="18" t="s">
        <v>7</v>
      </c>
      <c r="S30" s="10">
        <v>100.01</v>
      </c>
      <c r="T30" s="11">
        <v>110</v>
      </c>
      <c r="V30" s="27">
        <v>1500000</v>
      </c>
      <c r="W30" s="11" t="s">
        <v>22</v>
      </c>
      <c r="Y30" s="44">
        <v>600</v>
      </c>
      <c r="Z30" s="29">
        <v>1</v>
      </c>
      <c r="AA30" s="56" t="s">
        <v>5</v>
      </c>
      <c r="AG30" s="11" t="s">
        <v>23</v>
      </c>
      <c r="AH30" s="27">
        <v>1750000</v>
      </c>
      <c r="AI30" s="63"/>
      <c r="AJ30" s="63"/>
      <c r="AK30" s="63"/>
      <c r="AL30" s="63"/>
    </row>
    <row r="31" spans="1:38">
      <c r="A31" s="6"/>
      <c r="B31" s="6" t="s">
        <v>23</v>
      </c>
      <c r="C31" s="24">
        <v>1750000</v>
      </c>
      <c r="D31" s="24">
        <v>650</v>
      </c>
      <c r="E31" s="16">
        <v>735</v>
      </c>
      <c r="G31" s="10">
        <v>27</v>
      </c>
      <c r="H31" s="11">
        <v>0.45</v>
      </c>
      <c r="J31" s="10">
        <v>36</v>
      </c>
      <c r="K31" s="11">
        <v>0.91</v>
      </c>
      <c r="M31" s="17">
        <v>230.01</v>
      </c>
      <c r="N31" s="18" t="s">
        <v>10</v>
      </c>
      <c r="P31" s="17">
        <v>260.01</v>
      </c>
      <c r="Q31" s="18" t="s">
        <v>10</v>
      </c>
      <c r="S31" s="10">
        <v>110</v>
      </c>
      <c r="T31" s="11">
        <v>110</v>
      </c>
      <c r="V31" s="27">
        <v>1750000</v>
      </c>
      <c r="W31" s="11" t="s">
        <v>23</v>
      </c>
      <c r="Y31" s="44">
        <v>700</v>
      </c>
      <c r="Z31" s="57" t="s">
        <v>4</v>
      </c>
      <c r="AA31" s="56" t="s">
        <v>6</v>
      </c>
      <c r="AG31" s="13" t="s">
        <v>24</v>
      </c>
      <c r="AH31" s="28">
        <v>2000000</v>
      </c>
      <c r="AI31" s="63"/>
      <c r="AJ31" s="63"/>
      <c r="AK31" s="63"/>
      <c r="AL31" s="63"/>
    </row>
    <row r="32" spans="1:38">
      <c r="A32" s="8"/>
      <c r="B32" s="8" t="s">
        <v>24</v>
      </c>
      <c r="C32" s="25">
        <v>2000000</v>
      </c>
      <c r="D32" s="25">
        <v>665</v>
      </c>
      <c r="E32" s="19">
        <v>750</v>
      </c>
      <c r="G32" s="10">
        <v>28</v>
      </c>
      <c r="H32" s="11">
        <v>0.45</v>
      </c>
      <c r="J32" s="10">
        <v>37</v>
      </c>
      <c r="K32" s="11">
        <v>0.91</v>
      </c>
      <c r="M32" s="15">
        <v>255</v>
      </c>
      <c r="N32" s="16" t="s">
        <v>10</v>
      </c>
      <c r="P32" s="15">
        <v>290</v>
      </c>
      <c r="Q32" s="16" t="s">
        <v>10</v>
      </c>
      <c r="S32" s="10">
        <v>110.01</v>
      </c>
      <c r="T32" s="11">
        <v>125</v>
      </c>
      <c r="V32" s="28">
        <v>2000000</v>
      </c>
      <c r="W32" s="13" t="s">
        <v>24</v>
      </c>
      <c r="Y32" s="44">
        <v>800</v>
      </c>
      <c r="Z32" s="57" t="s">
        <v>4</v>
      </c>
      <c r="AA32" s="55" t="s">
        <v>6</v>
      </c>
    </row>
    <row r="33" spans="2:27">
      <c r="B33" s="23"/>
      <c r="G33" s="10">
        <v>29</v>
      </c>
      <c r="H33" s="11">
        <v>0.45</v>
      </c>
      <c r="J33" s="10">
        <v>38</v>
      </c>
      <c r="K33" s="11">
        <v>0.91</v>
      </c>
      <c r="M33" s="17">
        <v>255.01</v>
      </c>
      <c r="N33" s="16" t="s">
        <v>11</v>
      </c>
      <c r="P33" s="17">
        <v>290.01</v>
      </c>
      <c r="Q33" s="16" t="s">
        <v>11</v>
      </c>
      <c r="S33" s="10">
        <v>125</v>
      </c>
      <c r="T33" s="11">
        <v>125</v>
      </c>
      <c r="Y33" s="44">
        <v>1000</v>
      </c>
      <c r="Z33" s="57" t="s">
        <v>5</v>
      </c>
      <c r="AA33" s="55" t="s">
        <v>7</v>
      </c>
    </row>
    <row r="34" spans="2:27">
      <c r="G34" s="10">
        <v>30</v>
      </c>
      <c r="H34" s="11">
        <v>0.45</v>
      </c>
      <c r="J34" s="10">
        <v>39</v>
      </c>
      <c r="K34" s="11">
        <v>0.91</v>
      </c>
      <c r="M34" s="15">
        <v>285</v>
      </c>
      <c r="N34" s="16" t="s">
        <v>11</v>
      </c>
      <c r="P34" s="15">
        <v>320</v>
      </c>
      <c r="Q34" s="16" t="s">
        <v>11</v>
      </c>
      <c r="S34" s="10">
        <v>125.01</v>
      </c>
      <c r="T34" s="11">
        <v>150</v>
      </c>
      <c r="Y34" s="44">
        <v>1200</v>
      </c>
      <c r="Z34" s="57" t="s">
        <v>6</v>
      </c>
      <c r="AA34" s="30">
        <v>250</v>
      </c>
    </row>
    <row r="35" spans="2:27">
      <c r="B35" s="20" t="s">
        <v>35</v>
      </c>
      <c r="C35" s="64">
        <v>1</v>
      </c>
      <c r="D35" s="64" t="s">
        <v>109</v>
      </c>
      <c r="E35" s="64">
        <v>120</v>
      </c>
      <c r="G35" s="10">
        <v>31</v>
      </c>
      <c r="H35" s="11">
        <v>0.4</v>
      </c>
      <c r="J35" s="10">
        <v>40</v>
      </c>
      <c r="K35" s="11">
        <v>0.91</v>
      </c>
      <c r="M35" s="17">
        <v>285.01</v>
      </c>
      <c r="N35" s="16" t="s">
        <v>12</v>
      </c>
      <c r="P35" s="17">
        <v>320.01</v>
      </c>
      <c r="Q35" s="16" t="s">
        <v>12</v>
      </c>
      <c r="S35" s="10">
        <v>150</v>
      </c>
      <c r="T35" s="11">
        <v>150</v>
      </c>
      <c r="Y35" s="44">
        <v>1600</v>
      </c>
      <c r="Z35" s="57" t="s">
        <v>7</v>
      </c>
      <c r="AA35" s="30">
        <v>350</v>
      </c>
    </row>
    <row r="36" spans="2:27">
      <c r="B36" s="21" t="s">
        <v>44</v>
      </c>
      <c r="C36" s="65">
        <v>3</v>
      </c>
      <c r="D36" s="66" t="s">
        <v>64</v>
      </c>
      <c r="E36" s="66">
        <v>208</v>
      </c>
      <c r="G36" s="10">
        <v>32</v>
      </c>
      <c r="H36" s="11">
        <v>0.4</v>
      </c>
      <c r="J36" s="10">
        <v>41</v>
      </c>
      <c r="K36" s="11">
        <v>0.87</v>
      </c>
      <c r="M36" s="15">
        <v>310</v>
      </c>
      <c r="N36" s="16" t="s">
        <v>12</v>
      </c>
      <c r="P36" s="15">
        <v>350</v>
      </c>
      <c r="Q36" s="16" t="s">
        <v>12</v>
      </c>
      <c r="S36" s="10">
        <v>150.01</v>
      </c>
      <c r="T36" s="11">
        <v>175</v>
      </c>
      <c r="Y36" s="44">
        <v>2000</v>
      </c>
      <c r="Z36" s="29">
        <v>250</v>
      </c>
      <c r="AA36" s="30">
        <v>400</v>
      </c>
    </row>
    <row r="37" spans="2:27">
      <c r="D37" s="65" t="s">
        <v>102</v>
      </c>
      <c r="E37" s="66">
        <v>240</v>
      </c>
      <c r="G37" s="10">
        <v>33</v>
      </c>
      <c r="H37" s="11">
        <v>0.4</v>
      </c>
      <c r="J37" s="10">
        <v>42</v>
      </c>
      <c r="K37" s="11">
        <v>0.87</v>
      </c>
      <c r="M37" s="17">
        <v>310.01</v>
      </c>
      <c r="N37" s="16" t="s">
        <v>13</v>
      </c>
      <c r="P37" s="17">
        <v>350.01</v>
      </c>
      <c r="Q37" s="16" t="s">
        <v>13</v>
      </c>
      <c r="S37" s="10">
        <v>175</v>
      </c>
      <c r="T37" s="11">
        <v>175</v>
      </c>
      <c r="Y37" s="44">
        <v>2500</v>
      </c>
      <c r="Z37" s="29">
        <v>350</v>
      </c>
      <c r="AA37" s="30">
        <v>600</v>
      </c>
    </row>
    <row r="38" spans="2:27">
      <c r="E38" s="66">
        <v>277</v>
      </c>
      <c r="G38" s="10">
        <v>34</v>
      </c>
      <c r="H38" s="11">
        <v>0.4</v>
      </c>
      <c r="J38" s="10">
        <v>43</v>
      </c>
      <c r="K38" s="11">
        <v>0.87</v>
      </c>
      <c r="M38" s="15">
        <v>335</v>
      </c>
      <c r="N38" s="16" t="s">
        <v>13</v>
      </c>
      <c r="P38" s="15">
        <v>380</v>
      </c>
      <c r="Q38" s="16" t="s">
        <v>13</v>
      </c>
      <c r="S38" s="10">
        <v>175.01</v>
      </c>
      <c r="T38" s="11">
        <v>200</v>
      </c>
      <c r="Y38" s="44">
        <v>3000</v>
      </c>
      <c r="Z38" s="29">
        <v>400</v>
      </c>
      <c r="AA38" s="30">
        <v>600</v>
      </c>
    </row>
    <row r="39" spans="2:27">
      <c r="E39" s="65">
        <v>480</v>
      </c>
      <c r="G39" s="10">
        <v>35</v>
      </c>
      <c r="H39" s="11">
        <v>0.4</v>
      </c>
      <c r="J39" s="10">
        <v>44</v>
      </c>
      <c r="K39" s="11">
        <v>0.87</v>
      </c>
      <c r="M39" s="17">
        <v>335.01</v>
      </c>
      <c r="N39" s="16" t="s">
        <v>14</v>
      </c>
      <c r="P39" s="17">
        <v>380.01</v>
      </c>
      <c r="Q39" s="16" t="s">
        <v>14</v>
      </c>
      <c r="S39" s="10">
        <v>200</v>
      </c>
      <c r="T39" s="11">
        <v>200</v>
      </c>
      <c r="Y39" s="44">
        <v>4000</v>
      </c>
      <c r="Z39" s="29">
        <v>500</v>
      </c>
      <c r="AA39" s="30">
        <v>750</v>
      </c>
    </row>
    <row r="40" spans="2:27">
      <c r="G40" s="10">
        <v>36</v>
      </c>
      <c r="H40" s="11">
        <v>0.4</v>
      </c>
      <c r="J40" s="10">
        <v>45</v>
      </c>
      <c r="K40" s="11">
        <v>0.87</v>
      </c>
      <c r="M40" s="15">
        <v>380</v>
      </c>
      <c r="N40" s="16" t="s">
        <v>14</v>
      </c>
      <c r="P40" s="15">
        <v>430</v>
      </c>
      <c r="Q40" s="16" t="s">
        <v>14</v>
      </c>
      <c r="S40" s="10">
        <v>200.01</v>
      </c>
      <c r="T40" s="11">
        <v>225</v>
      </c>
      <c r="Y40" s="44">
        <v>5000</v>
      </c>
      <c r="Z40" s="29">
        <v>700</v>
      </c>
      <c r="AA40" s="30">
        <v>1200</v>
      </c>
    </row>
    <row r="41" spans="2:27" ht="16" thickBot="1">
      <c r="G41" s="10">
        <v>37</v>
      </c>
      <c r="H41" s="11">
        <v>0.4</v>
      </c>
      <c r="J41" s="10">
        <v>46</v>
      </c>
      <c r="K41" s="11">
        <v>0.82</v>
      </c>
      <c r="M41" s="17">
        <v>380.01</v>
      </c>
      <c r="N41" s="16" t="s">
        <v>15</v>
      </c>
      <c r="P41" s="17">
        <v>430.01</v>
      </c>
      <c r="Q41" s="16" t="s">
        <v>15</v>
      </c>
      <c r="S41" s="10">
        <v>225</v>
      </c>
      <c r="T41" s="11">
        <v>225</v>
      </c>
      <c r="Y41" s="45">
        <v>6000</v>
      </c>
      <c r="Z41" s="58">
        <v>800</v>
      </c>
      <c r="AA41" s="59">
        <v>1200</v>
      </c>
    </row>
    <row r="42" spans="2:27">
      <c r="G42" s="10">
        <v>38</v>
      </c>
      <c r="H42" s="11">
        <v>0.4</v>
      </c>
      <c r="J42" s="10">
        <v>47</v>
      </c>
      <c r="K42" s="11">
        <v>0.82</v>
      </c>
      <c r="M42" s="15">
        <v>420</v>
      </c>
      <c r="N42" s="16" t="s">
        <v>15</v>
      </c>
      <c r="P42" s="15">
        <v>475</v>
      </c>
      <c r="Q42" s="16" t="s">
        <v>15</v>
      </c>
      <c r="S42" s="10">
        <v>225.01</v>
      </c>
      <c r="T42" s="11">
        <v>250</v>
      </c>
    </row>
    <row r="43" spans="2:27">
      <c r="G43" s="10">
        <v>39</v>
      </c>
      <c r="H43" s="11">
        <v>0.4</v>
      </c>
      <c r="J43" s="10">
        <v>48</v>
      </c>
      <c r="K43" s="11">
        <v>0.82</v>
      </c>
      <c r="M43" s="17">
        <v>420.01</v>
      </c>
      <c r="N43" s="16" t="s">
        <v>16</v>
      </c>
      <c r="P43" s="17">
        <v>475.01</v>
      </c>
      <c r="Q43" s="16" t="s">
        <v>16</v>
      </c>
      <c r="S43" s="10">
        <v>250</v>
      </c>
      <c r="T43" s="11">
        <v>250</v>
      </c>
    </row>
    <row r="44" spans="2:27">
      <c r="G44" s="12">
        <v>40</v>
      </c>
      <c r="H44" s="13">
        <v>0.4</v>
      </c>
      <c r="J44" s="10">
        <v>49</v>
      </c>
      <c r="K44" s="11">
        <v>0.82</v>
      </c>
      <c r="M44" s="15">
        <v>460</v>
      </c>
      <c r="N44" s="16" t="s">
        <v>16</v>
      </c>
      <c r="P44" s="15">
        <v>520</v>
      </c>
      <c r="Q44" s="16" t="s">
        <v>16</v>
      </c>
      <c r="S44" s="10">
        <v>250.01</v>
      </c>
      <c r="T44" s="11">
        <v>300</v>
      </c>
    </row>
    <row r="45" spans="2:27">
      <c r="J45" s="10">
        <v>50</v>
      </c>
      <c r="K45" s="11">
        <v>0.82</v>
      </c>
      <c r="M45" s="17">
        <v>460.01</v>
      </c>
      <c r="N45" s="16" t="s">
        <v>17</v>
      </c>
      <c r="P45" s="17">
        <v>520.01</v>
      </c>
      <c r="Q45" s="16" t="s">
        <v>17</v>
      </c>
      <c r="S45" s="10">
        <v>300</v>
      </c>
      <c r="T45" s="11">
        <v>300</v>
      </c>
    </row>
    <row r="46" spans="2:27">
      <c r="J46" s="10">
        <v>51</v>
      </c>
      <c r="K46" s="11">
        <v>0.76</v>
      </c>
      <c r="M46" s="15">
        <v>475</v>
      </c>
      <c r="N46" s="16" t="s">
        <v>17</v>
      </c>
      <c r="P46" s="15">
        <v>535</v>
      </c>
      <c r="Q46" s="16" t="s">
        <v>17</v>
      </c>
      <c r="S46" s="10">
        <v>300.01</v>
      </c>
      <c r="T46" s="11">
        <v>350</v>
      </c>
    </row>
    <row r="47" spans="2:27">
      <c r="J47" s="10">
        <v>52</v>
      </c>
      <c r="K47" s="11">
        <v>0.76</v>
      </c>
      <c r="M47" s="17">
        <v>475.01</v>
      </c>
      <c r="N47" s="16" t="s">
        <v>18</v>
      </c>
      <c r="P47" s="17">
        <v>535.01</v>
      </c>
      <c r="Q47" s="16" t="s">
        <v>18</v>
      </c>
      <c r="S47" s="10">
        <v>350</v>
      </c>
      <c r="T47" s="11">
        <v>350</v>
      </c>
    </row>
    <row r="48" spans="2:27">
      <c r="J48" s="10">
        <v>53</v>
      </c>
      <c r="K48" s="11">
        <v>0.76</v>
      </c>
      <c r="M48" s="15">
        <v>490</v>
      </c>
      <c r="N48" s="16" t="s">
        <v>18</v>
      </c>
      <c r="P48" s="15">
        <v>555</v>
      </c>
      <c r="Q48" s="16" t="s">
        <v>18</v>
      </c>
      <c r="S48" s="10">
        <v>350.01</v>
      </c>
      <c r="T48" s="11">
        <v>400</v>
      </c>
    </row>
    <row r="49" spans="10:20">
      <c r="J49" s="10">
        <v>54</v>
      </c>
      <c r="K49" s="11">
        <v>0.76</v>
      </c>
      <c r="M49" s="17">
        <v>490.01</v>
      </c>
      <c r="N49" s="16" t="s">
        <v>19</v>
      </c>
      <c r="P49" s="17">
        <v>555.01</v>
      </c>
      <c r="Q49" s="16" t="s">
        <v>19</v>
      </c>
      <c r="S49" s="10">
        <v>400</v>
      </c>
      <c r="T49" s="11">
        <v>400</v>
      </c>
    </row>
    <row r="50" spans="10:20">
      <c r="J50" s="10">
        <v>55</v>
      </c>
      <c r="K50" s="11">
        <v>0.76</v>
      </c>
      <c r="M50" s="15">
        <v>520</v>
      </c>
      <c r="N50" s="16" t="s">
        <v>19</v>
      </c>
      <c r="P50" s="15">
        <v>585</v>
      </c>
      <c r="Q50" s="16" t="s">
        <v>19</v>
      </c>
      <c r="S50" s="10">
        <v>400.01</v>
      </c>
      <c r="T50" s="11">
        <v>450</v>
      </c>
    </row>
    <row r="51" spans="10:20">
      <c r="J51" s="10">
        <v>56</v>
      </c>
      <c r="K51" s="11">
        <v>0.71</v>
      </c>
      <c r="M51" s="17">
        <v>520.01</v>
      </c>
      <c r="N51" s="16" t="s">
        <v>20</v>
      </c>
      <c r="P51" s="17">
        <v>585.01</v>
      </c>
      <c r="Q51" s="16" t="s">
        <v>20</v>
      </c>
      <c r="S51" s="10">
        <v>450</v>
      </c>
      <c r="T51" s="11">
        <v>450</v>
      </c>
    </row>
    <row r="52" spans="10:20">
      <c r="J52" s="10">
        <v>57</v>
      </c>
      <c r="K52" s="11">
        <v>0.71</v>
      </c>
      <c r="M52" s="15">
        <v>545</v>
      </c>
      <c r="N52" s="16" t="s">
        <v>20</v>
      </c>
      <c r="P52" s="15">
        <v>615</v>
      </c>
      <c r="Q52" s="16" t="s">
        <v>20</v>
      </c>
      <c r="S52" s="10">
        <v>450.01</v>
      </c>
      <c r="T52" s="11">
        <v>500</v>
      </c>
    </row>
    <row r="53" spans="10:20">
      <c r="J53" s="10">
        <v>58</v>
      </c>
      <c r="K53" s="11">
        <v>0.71</v>
      </c>
      <c r="M53" s="17">
        <v>545.01</v>
      </c>
      <c r="N53" s="16" t="s">
        <v>21</v>
      </c>
      <c r="P53" s="17">
        <v>615.01</v>
      </c>
      <c r="Q53" s="16" t="s">
        <v>21</v>
      </c>
      <c r="S53" s="10">
        <v>500</v>
      </c>
      <c r="T53" s="11">
        <v>500</v>
      </c>
    </row>
    <row r="54" spans="10:20">
      <c r="J54" s="10">
        <v>59</v>
      </c>
      <c r="K54" s="11">
        <v>0.71</v>
      </c>
      <c r="M54" s="15">
        <v>590</v>
      </c>
      <c r="N54" s="16" t="s">
        <v>21</v>
      </c>
      <c r="P54" s="15">
        <v>665</v>
      </c>
      <c r="Q54" s="16" t="s">
        <v>21</v>
      </c>
      <c r="S54" s="10">
        <v>500.01</v>
      </c>
      <c r="T54" s="11">
        <v>600</v>
      </c>
    </row>
    <row r="55" spans="10:20">
      <c r="J55" s="10">
        <v>60</v>
      </c>
      <c r="K55" s="11">
        <v>0.71</v>
      </c>
      <c r="M55" s="17">
        <v>590.01</v>
      </c>
      <c r="N55" s="16" t="s">
        <v>22</v>
      </c>
      <c r="P55" s="17">
        <v>665.01</v>
      </c>
      <c r="Q55" s="16" t="s">
        <v>22</v>
      </c>
      <c r="S55" s="10">
        <v>600</v>
      </c>
      <c r="T55" s="11">
        <v>600</v>
      </c>
    </row>
    <row r="56" spans="10:20">
      <c r="J56" s="10">
        <v>61</v>
      </c>
      <c r="K56" s="11">
        <v>0.65</v>
      </c>
      <c r="M56" s="15">
        <v>625</v>
      </c>
      <c r="N56" s="16" t="s">
        <v>22</v>
      </c>
      <c r="P56" s="15">
        <v>705</v>
      </c>
      <c r="Q56" s="16" t="s">
        <v>22</v>
      </c>
      <c r="S56" s="10">
        <v>600.01</v>
      </c>
      <c r="T56" s="11">
        <v>700</v>
      </c>
    </row>
    <row r="57" spans="10:20">
      <c r="J57" s="10">
        <v>62</v>
      </c>
      <c r="K57" s="11">
        <v>0.65</v>
      </c>
      <c r="M57" s="17">
        <v>625.01</v>
      </c>
      <c r="N57" s="16" t="s">
        <v>23</v>
      </c>
      <c r="P57" s="17">
        <v>705.01</v>
      </c>
      <c r="Q57" s="16" t="s">
        <v>23</v>
      </c>
      <c r="S57" s="10">
        <v>700</v>
      </c>
      <c r="T57" s="11">
        <v>700</v>
      </c>
    </row>
    <row r="58" spans="10:20">
      <c r="J58" s="10">
        <v>63</v>
      </c>
      <c r="K58" s="11">
        <v>0.65</v>
      </c>
      <c r="M58" s="15">
        <v>650</v>
      </c>
      <c r="N58" s="16" t="s">
        <v>23</v>
      </c>
      <c r="P58" s="15">
        <v>735</v>
      </c>
      <c r="Q58" s="16" t="s">
        <v>23</v>
      </c>
      <c r="S58" s="10">
        <v>700.01</v>
      </c>
      <c r="T58" s="11">
        <v>800</v>
      </c>
    </row>
    <row r="59" spans="10:20">
      <c r="J59" s="10">
        <v>64</v>
      </c>
      <c r="K59" s="11">
        <v>0.65</v>
      </c>
      <c r="M59" s="17">
        <v>650.01</v>
      </c>
      <c r="N59" s="16" t="s">
        <v>24</v>
      </c>
      <c r="P59" s="17">
        <v>735.01</v>
      </c>
      <c r="Q59" s="16" t="s">
        <v>24</v>
      </c>
      <c r="S59" s="10">
        <v>999.99</v>
      </c>
      <c r="T59" s="11">
        <v>800</v>
      </c>
    </row>
    <row r="60" spans="10:20">
      <c r="J60" s="10">
        <v>65</v>
      </c>
      <c r="K60" s="11">
        <v>0.65</v>
      </c>
      <c r="M60" s="15">
        <v>665</v>
      </c>
      <c r="N60" s="16" t="s">
        <v>24</v>
      </c>
      <c r="P60" s="15">
        <v>750</v>
      </c>
      <c r="Q60" s="16" t="s">
        <v>24</v>
      </c>
      <c r="S60" s="10">
        <v>1000</v>
      </c>
      <c r="T60" s="11">
        <v>1000</v>
      </c>
    </row>
    <row r="61" spans="10:20">
      <c r="J61" s="10">
        <v>66</v>
      </c>
      <c r="K61" s="11">
        <v>0.57999999999999996</v>
      </c>
      <c r="M61" s="12">
        <v>665.01</v>
      </c>
      <c r="N61" s="13" t="s">
        <v>65</v>
      </c>
      <c r="P61" s="12">
        <v>750.01</v>
      </c>
      <c r="Q61" s="13" t="s">
        <v>65</v>
      </c>
      <c r="S61" s="10">
        <v>1200</v>
      </c>
      <c r="T61" s="11">
        <v>1200</v>
      </c>
    </row>
    <row r="62" spans="10:20">
      <c r="J62" s="10">
        <v>67</v>
      </c>
      <c r="K62" s="11">
        <v>0.57999999999999996</v>
      </c>
      <c r="S62" s="10">
        <v>1600</v>
      </c>
      <c r="T62" s="11">
        <v>1600</v>
      </c>
    </row>
    <row r="63" spans="10:20">
      <c r="J63" s="10">
        <v>68</v>
      </c>
      <c r="K63" s="11">
        <v>0.57999999999999996</v>
      </c>
      <c r="S63" s="10">
        <v>2000</v>
      </c>
      <c r="T63" s="11">
        <v>2000</v>
      </c>
    </row>
    <row r="64" spans="10:20">
      <c r="J64" s="10">
        <v>69</v>
      </c>
      <c r="K64" s="11">
        <v>0.57999999999999996</v>
      </c>
      <c r="S64" s="10">
        <v>2500</v>
      </c>
      <c r="T64" s="11">
        <v>2500</v>
      </c>
    </row>
    <row r="65" spans="10:20">
      <c r="J65" s="10">
        <v>70</v>
      </c>
      <c r="K65" s="11">
        <v>0.57999999999999996</v>
      </c>
      <c r="S65" s="10">
        <v>3000</v>
      </c>
      <c r="T65" s="11">
        <v>3000</v>
      </c>
    </row>
    <row r="66" spans="10:20">
      <c r="J66" s="10">
        <v>71</v>
      </c>
      <c r="K66" s="11">
        <v>0.5</v>
      </c>
      <c r="S66" s="10">
        <v>4000</v>
      </c>
      <c r="T66" s="11">
        <v>4000</v>
      </c>
    </row>
    <row r="67" spans="10:20">
      <c r="J67" s="10">
        <v>72</v>
      </c>
      <c r="K67" s="11">
        <v>0.5</v>
      </c>
      <c r="S67" s="10">
        <v>5000</v>
      </c>
      <c r="T67" s="11">
        <v>5000</v>
      </c>
    </row>
    <row r="68" spans="10:20">
      <c r="J68" s="10">
        <v>73</v>
      </c>
      <c r="K68" s="11">
        <v>0.5</v>
      </c>
      <c r="S68" s="10">
        <v>6000</v>
      </c>
      <c r="T68" s="11">
        <v>6000</v>
      </c>
    </row>
    <row r="69" spans="10:20">
      <c r="J69" s="10">
        <v>74</v>
      </c>
      <c r="K69" s="11">
        <v>0.5</v>
      </c>
      <c r="M69" s="9" t="s">
        <v>33</v>
      </c>
      <c r="N69" s="14" t="s">
        <v>53</v>
      </c>
      <c r="P69" s="9" t="s">
        <v>32</v>
      </c>
      <c r="Q69" s="14" t="s">
        <v>53</v>
      </c>
      <c r="S69" s="12">
        <v>6001</v>
      </c>
      <c r="T69" s="13" t="s">
        <v>48</v>
      </c>
    </row>
    <row r="70" spans="10:20">
      <c r="J70" s="10">
        <v>75</v>
      </c>
      <c r="K70" s="11">
        <v>0.5</v>
      </c>
      <c r="M70" s="10"/>
      <c r="N70" s="16"/>
      <c r="P70" s="10"/>
      <c r="Q70" s="16"/>
    </row>
    <row r="71" spans="10:20">
      <c r="J71" s="10">
        <v>76</v>
      </c>
      <c r="K71" s="11">
        <v>0.41</v>
      </c>
      <c r="M71" s="15"/>
      <c r="N71" s="16"/>
      <c r="P71" s="15"/>
      <c r="Q71" s="16"/>
    </row>
    <row r="72" spans="10:20">
      <c r="J72" s="10">
        <v>77</v>
      </c>
      <c r="K72" s="11">
        <v>0.41</v>
      </c>
      <c r="M72" s="17">
        <v>1</v>
      </c>
      <c r="N72" s="16" t="s">
        <v>39</v>
      </c>
      <c r="P72" s="17">
        <v>1</v>
      </c>
      <c r="Q72" s="16" t="s">
        <v>39</v>
      </c>
    </row>
    <row r="73" spans="10:20">
      <c r="J73" s="10">
        <v>78</v>
      </c>
      <c r="K73" s="11">
        <v>0.41</v>
      </c>
      <c r="M73" s="15">
        <v>20</v>
      </c>
      <c r="N73" s="16">
        <v>12</v>
      </c>
      <c r="P73" s="15">
        <v>25</v>
      </c>
      <c r="Q73" s="16">
        <v>12</v>
      </c>
    </row>
    <row r="74" spans="10:20">
      <c r="J74" s="10">
        <v>79</v>
      </c>
      <c r="K74" s="11">
        <v>0.41</v>
      </c>
      <c r="M74" s="17">
        <v>20.010000000000002</v>
      </c>
      <c r="N74" s="16" t="s">
        <v>38</v>
      </c>
      <c r="P74" s="17">
        <v>25.01</v>
      </c>
      <c r="Q74" s="16" t="s">
        <v>38</v>
      </c>
    </row>
    <row r="75" spans="10:20">
      <c r="J75" s="10">
        <v>80</v>
      </c>
      <c r="K75" s="11">
        <v>0.41</v>
      </c>
      <c r="M75" s="15">
        <v>30</v>
      </c>
      <c r="N75" s="16">
        <v>10</v>
      </c>
      <c r="P75" s="15">
        <v>35</v>
      </c>
      <c r="Q75" s="16">
        <v>10</v>
      </c>
    </row>
    <row r="76" spans="10:20">
      <c r="J76" s="10">
        <v>81</v>
      </c>
      <c r="K76" s="11">
        <v>0.28999999999999998</v>
      </c>
      <c r="M76" s="17">
        <v>30.01</v>
      </c>
      <c r="N76" s="16" t="s">
        <v>8</v>
      </c>
      <c r="P76" s="17">
        <v>35.01</v>
      </c>
      <c r="Q76" s="16" t="s">
        <v>8</v>
      </c>
    </row>
    <row r="77" spans="10:20">
      <c r="J77" s="10">
        <v>82</v>
      </c>
      <c r="K77" s="11">
        <v>0.28999999999999998</v>
      </c>
      <c r="M77" s="15">
        <v>40</v>
      </c>
      <c r="N77" s="16">
        <v>8</v>
      </c>
      <c r="P77" s="15">
        <v>45</v>
      </c>
      <c r="Q77" s="16">
        <v>8</v>
      </c>
    </row>
    <row r="78" spans="10:20">
      <c r="J78" s="10">
        <v>83</v>
      </c>
      <c r="K78" s="11">
        <v>0.28999999999999998</v>
      </c>
      <c r="M78" s="17">
        <v>40.01</v>
      </c>
      <c r="N78" s="16" t="s">
        <v>36</v>
      </c>
      <c r="P78" s="17">
        <v>45.01</v>
      </c>
      <c r="Q78" s="16" t="s">
        <v>36</v>
      </c>
    </row>
    <row r="79" spans="10:20">
      <c r="J79" s="10">
        <v>84</v>
      </c>
      <c r="K79" s="11">
        <v>0.28999999999999998</v>
      </c>
      <c r="M79" s="15">
        <v>50</v>
      </c>
      <c r="N79" s="16">
        <v>6</v>
      </c>
      <c r="P79" s="15">
        <v>55</v>
      </c>
      <c r="Q79" s="16">
        <v>6</v>
      </c>
    </row>
    <row r="80" spans="10:20">
      <c r="J80" s="12">
        <v>85</v>
      </c>
      <c r="K80" s="13">
        <v>0.28999999999999998</v>
      </c>
      <c r="M80" s="17">
        <v>50.01</v>
      </c>
      <c r="N80" s="16" t="s">
        <v>37</v>
      </c>
      <c r="P80" s="17">
        <v>55.01</v>
      </c>
      <c r="Q80" s="16" t="s">
        <v>37</v>
      </c>
    </row>
    <row r="81" spans="10:17">
      <c r="J81" s="1">
        <v>85.01</v>
      </c>
      <c r="K81" s="1" t="s">
        <v>47</v>
      </c>
      <c r="M81" s="15">
        <v>65</v>
      </c>
      <c r="N81" s="16">
        <v>4</v>
      </c>
      <c r="P81" s="15">
        <v>75</v>
      </c>
      <c r="Q81" s="16">
        <v>4</v>
      </c>
    </row>
    <row r="82" spans="10:17">
      <c r="M82" s="17">
        <v>65.010000000000005</v>
      </c>
      <c r="N82" s="16" t="s">
        <v>40</v>
      </c>
      <c r="P82" s="17">
        <v>75.010000000000005</v>
      </c>
      <c r="Q82" s="16" t="s">
        <v>40</v>
      </c>
    </row>
    <row r="83" spans="10:17">
      <c r="M83" s="15">
        <v>75</v>
      </c>
      <c r="N83" s="16">
        <v>3</v>
      </c>
      <c r="P83" s="15">
        <v>85</v>
      </c>
      <c r="Q83" s="16">
        <v>3</v>
      </c>
    </row>
    <row r="84" spans="10:17">
      <c r="M84" s="17">
        <v>75.010000000000005</v>
      </c>
      <c r="N84" s="16" t="s">
        <v>41</v>
      </c>
      <c r="P84" s="17">
        <v>85.01</v>
      </c>
      <c r="Q84" s="16" t="s">
        <v>41</v>
      </c>
    </row>
    <row r="85" spans="10:17">
      <c r="M85" s="15">
        <v>90</v>
      </c>
      <c r="N85" s="16">
        <v>2</v>
      </c>
      <c r="P85" s="15">
        <v>100</v>
      </c>
      <c r="Q85" s="16">
        <v>2</v>
      </c>
    </row>
    <row r="86" spans="10:17">
      <c r="M86" s="17">
        <v>90.01</v>
      </c>
      <c r="N86" s="16" t="s">
        <v>42</v>
      </c>
      <c r="P86" s="17">
        <v>100.01</v>
      </c>
      <c r="Q86" s="16" t="s">
        <v>42</v>
      </c>
    </row>
    <row r="87" spans="10:17">
      <c r="M87" s="15">
        <v>100</v>
      </c>
      <c r="N87" s="16">
        <v>1</v>
      </c>
      <c r="P87" s="15">
        <v>115</v>
      </c>
      <c r="Q87" s="16">
        <v>1</v>
      </c>
    </row>
    <row r="88" spans="10:17">
      <c r="M88" s="17">
        <v>100.01</v>
      </c>
      <c r="N88" s="16" t="s">
        <v>4</v>
      </c>
      <c r="P88" s="17">
        <v>115.01</v>
      </c>
      <c r="Q88" s="16" t="s">
        <v>4</v>
      </c>
    </row>
    <row r="89" spans="10:17">
      <c r="M89" s="15">
        <v>120</v>
      </c>
      <c r="N89" s="18" t="s">
        <v>4</v>
      </c>
      <c r="P89" s="15">
        <v>135</v>
      </c>
      <c r="Q89" s="18" t="s">
        <v>4</v>
      </c>
    </row>
    <row r="90" spans="10:17">
      <c r="J90" s="9" t="s">
        <v>52</v>
      </c>
      <c r="K90" s="5" t="s">
        <v>31</v>
      </c>
      <c r="M90" s="17">
        <v>120.01</v>
      </c>
      <c r="N90" s="18" t="s">
        <v>5</v>
      </c>
      <c r="P90" s="17">
        <v>135.01</v>
      </c>
      <c r="Q90" s="18" t="s">
        <v>5</v>
      </c>
    </row>
    <row r="91" spans="10:17">
      <c r="J91" s="10">
        <v>50</v>
      </c>
      <c r="K91" s="11">
        <v>1.1499999999999999</v>
      </c>
      <c r="M91" s="15">
        <v>135</v>
      </c>
      <c r="N91" s="18" t="s">
        <v>5</v>
      </c>
      <c r="P91" s="15">
        <v>150</v>
      </c>
      <c r="Q91" s="18" t="s">
        <v>5</v>
      </c>
    </row>
    <row r="92" spans="10:17">
      <c r="J92" s="10">
        <v>51</v>
      </c>
      <c r="K92" s="11">
        <v>1.1200000000000001</v>
      </c>
      <c r="M92" s="17">
        <v>135.01</v>
      </c>
      <c r="N92" s="18" t="s">
        <v>6</v>
      </c>
      <c r="P92" s="17">
        <v>150.01</v>
      </c>
      <c r="Q92" s="18" t="s">
        <v>6</v>
      </c>
    </row>
    <row r="93" spans="10:17">
      <c r="J93" s="10">
        <v>52</v>
      </c>
      <c r="K93" s="11">
        <v>1.1200000000000001</v>
      </c>
      <c r="M93" s="15">
        <v>155</v>
      </c>
      <c r="N93" s="18" t="s">
        <v>6</v>
      </c>
      <c r="P93" s="15">
        <v>175</v>
      </c>
      <c r="Q93" s="18" t="s">
        <v>6</v>
      </c>
    </row>
    <row r="94" spans="10:17">
      <c r="J94" s="10">
        <v>53</v>
      </c>
      <c r="K94" s="11">
        <v>1.1200000000000001</v>
      </c>
      <c r="M94" s="17">
        <v>155.01</v>
      </c>
      <c r="N94" s="18" t="s">
        <v>7</v>
      </c>
      <c r="P94" s="17">
        <v>175.01</v>
      </c>
      <c r="Q94" s="18" t="s">
        <v>7</v>
      </c>
    </row>
    <row r="95" spans="10:17">
      <c r="J95" s="10">
        <v>54</v>
      </c>
      <c r="K95" s="11">
        <v>1.1200000000000001</v>
      </c>
      <c r="M95" s="15">
        <v>180</v>
      </c>
      <c r="N95" s="18" t="s">
        <v>7</v>
      </c>
      <c r="P95" s="15">
        <v>205</v>
      </c>
      <c r="Q95" s="18" t="s">
        <v>7</v>
      </c>
    </row>
    <row r="96" spans="10:17">
      <c r="J96" s="10">
        <v>55</v>
      </c>
      <c r="K96" s="11">
        <v>1.1200000000000001</v>
      </c>
      <c r="M96" s="17">
        <v>180.01</v>
      </c>
      <c r="N96" s="18" t="s">
        <v>10</v>
      </c>
      <c r="P96" s="17">
        <v>205.01</v>
      </c>
      <c r="Q96" s="18" t="s">
        <v>10</v>
      </c>
    </row>
    <row r="97" spans="10:17">
      <c r="J97" s="10">
        <v>56</v>
      </c>
      <c r="K97" s="11">
        <v>1.1200000000000001</v>
      </c>
      <c r="M97" s="15">
        <v>205</v>
      </c>
      <c r="N97" s="16" t="s">
        <v>10</v>
      </c>
      <c r="P97" s="15">
        <v>230</v>
      </c>
      <c r="Q97" s="16" t="s">
        <v>10</v>
      </c>
    </row>
    <row r="98" spans="10:17">
      <c r="J98" s="10">
        <v>57</v>
      </c>
      <c r="K98" s="11">
        <v>1.1200000000000001</v>
      </c>
      <c r="M98" s="17">
        <v>205.01</v>
      </c>
      <c r="N98" s="16" t="s">
        <v>11</v>
      </c>
      <c r="P98" s="17">
        <v>230.01</v>
      </c>
      <c r="Q98" s="16" t="s">
        <v>11</v>
      </c>
    </row>
    <row r="99" spans="10:17">
      <c r="J99" s="10">
        <v>58</v>
      </c>
      <c r="K99" s="11">
        <v>1.1200000000000001</v>
      </c>
      <c r="M99" s="15">
        <v>230</v>
      </c>
      <c r="N99" s="16" t="s">
        <v>11</v>
      </c>
      <c r="P99" s="15">
        <v>260</v>
      </c>
      <c r="Q99" s="16" t="s">
        <v>11</v>
      </c>
    </row>
    <row r="100" spans="10:17">
      <c r="J100" s="10">
        <v>59</v>
      </c>
      <c r="K100" s="11">
        <v>1.1200000000000001</v>
      </c>
      <c r="M100" s="17">
        <v>230.01</v>
      </c>
      <c r="N100" s="16" t="s">
        <v>12</v>
      </c>
      <c r="P100" s="17">
        <v>260.01</v>
      </c>
      <c r="Q100" s="16" t="s">
        <v>12</v>
      </c>
    </row>
    <row r="101" spans="10:17">
      <c r="J101" s="10">
        <v>60</v>
      </c>
      <c r="K101" s="11">
        <v>1.08</v>
      </c>
      <c r="M101" s="15">
        <v>250</v>
      </c>
      <c r="N101" s="16" t="s">
        <v>12</v>
      </c>
      <c r="P101" s="15">
        <v>280</v>
      </c>
      <c r="Q101" s="16" t="s">
        <v>12</v>
      </c>
    </row>
    <row r="102" spans="10:17">
      <c r="J102" s="10">
        <v>61</v>
      </c>
      <c r="K102" s="11">
        <v>1.08</v>
      </c>
      <c r="M102" s="17">
        <v>250.01</v>
      </c>
      <c r="N102" s="16" t="s">
        <v>13</v>
      </c>
      <c r="P102" s="17">
        <v>280.01</v>
      </c>
      <c r="Q102" s="16" t="s">
        <v>13</v>
      </c>
    </row>
    <row r="103" spans="10:17">
      <c r="J103" s="10">
        <v>62</v>
      </c>
      <c r="K103" s="11">
        <v>1.08</v>
      </c>
      <c r="M103" s="15">
        <v>270</v>
      </c>
      <c r="N103" s="16" t="s">
        <v>13</v>
      </c>
      <c r="P103" s="15">
        <v>305</v>
      </c>
      <c r="Q103" s="16" t="s">
        <v>13</v>
      </c>
    </row>
    <row r="104" spans="10:17">
      <c r="J104" s="10">
        <v>63</v>
      </c>
      <c r="K104" s="11">
        <v>1.08</v>
      </c>
      <c r="M104" s="17">
        <v>270.01</v>
      </c>
      <c r="N104" s="16" t="s">
        <v>14</v>
      </c>
      <c r="P104" s="17">
        <v>305.01</v>
      </c>
      <c r="Q104" s="16" t="s">
        <v>14</v>
      </c>
    </row>
    <row r="105" spans="10:17">
      <c r="J105" s="10">
        <v>64</v>
      </c>
      <c r="K105" s="11">
        <v>1.08</v>
      </c>
      <c r="M105" s="15">
        <v>310</v>
      </c>
      <c r="N105" s="16" t="s">
        <v>14</v>
      </c>
      <c r="P105" s="15">
        <v>350</v>
      </c>
      <c r="Q105" s="16" t="s">
        <v>14</v>
      </c>
    </row>
    <row r="106" spans="10:17">
      <c r="J106" s="10">
        <v>65</v>
      </c>
      <c r="K106" s="11">
        <v>1.08</v>
      </c>
      <c r="M106" s="17">
        <v>310.01</v>
      </c>
      <c r="N106" s="16" t="s">
        <v>15</v>
      </c>
      <c r="P106" s="17">
        <v>350.01</v>
      </c>
      <c r="Q106" s="16" t="s">
        <v>15</v>
      </c>
    </row>
    <row r="107" spans="10:17">
      <c r="J107" s="10">
        <v>66</v>
      </c>
      <c r="K107" s="11">
        <v>1.08</v>
      </c>
      <c r="M107" s="15">
        <v>340</v>
      </c>
      <c r="N107" s="16" t="s">
        <v>15</v>
      </c>
      <c r="P107" s="15">
        <v>385</v>
      </c>
      <c r="Q107" s="16" t="s">
        <v>15</v>
      </c>
    </row>
    <row r="108" spans="10:17">
      <c r="J108" s="10">
        <v>67</v>
      </c>
      <c r="K108" s="11">
        <v>1.08</v>
      </c>
      <c r="M108" s="17">
        <v>340.01</v>
      </c>
      <c r="N108" s="16" t="s">
        <v>16</v>
      </c>
      <c r="P108" s="17">
        <v>385.01</v>
      </c>
      <c r="Q108" s="16" t="s">
        <v>16</v>
      </c>
    </row>
    <row r="109" spans="10:17">
      <c r="J109" s="10">
        <v>68</v>
      </c>
      <c r="K109" s="11">
        <v>1.08</v>
      </c>
      <c r="M109" s="15">
        <v>375</v>
      </c>
      <c r="N109" s="16" t="s">
        <v>16</v>
      </c>
      <c r="P109" s="15">
        <v>425</v>
      </c>
      <c r="Q109" s="16" t="s">
        <v>16</v>
      </c>
    </row>
    <row r="110" spans="10:17">
      <c r="J110" s="10">
        <v>69</v>
      </c>
      <c r="K110" s="11">
        <v>1.04</v>
      </c>
      <c r="M110" s="17">
        <v>375.01</v>
      </c>
      <c r="N110" s="16" t="s">
        <v>17</v>
      </c>
      <c r="P110" s="17">
        <v>425.01</v>
      </c>
      <c r="Q110" s="16" t="s">
        <v>17</v>
      </c>
    </row>
    <row r="111" spans="10:17">
      <c r="J111" s="10">
        <v>70</v>
      </c>
      <c r="K111" s="11">
        <v>1.04</v>
      </c>
      <c r="M111" s="15">
        <v>385</v>
      </c>
      <c r="N111" s="16" t="s">
        <v>17</v>
      </c>
      <c r="P111" s="15">
        <v>435</v>
      </c>
      <c r="Q111" s="16" t="s">
        <v>17</v>
      </c>
    </row>
    <row r="112" spans="10:17">
      <c r="J112" s="10">
        <v>71</v>
      </c>
      <c r="K112" s="11">
        <v>1.04</v>
      </c>
      <c r="M112" s="17">
        <v>385.01</v>
      </c>
      <c r="N112" s="16" t="s">
        <v>18</v>
      </c>
      <c r="P112" s="17">
        <v>435.01</v>
      </c>
      <c r="Q112" s="16" t="s">
        <v>18</v>
      </c>
    </row>
    <row r="113" spans="10:17">
      <c r="J113" s="10">
        <v>72</v>
      </c>
      <c r="K113" s="11">
        <v>1.04</v>
      </c>
      <c r="M113" s="15">
        <v>395</v>
      </c>
      <c r="N113" s="16" t="s">
        <v>18</v>
      </c>
      <c r="P113" s="15">
        <v>445</v>
      </c>
      <c r="Q113" s="16" t="s">
        <v>18</v>
      </c>
    </row>
    <row r="114" spans="10:17">
      <c r="J114" s="10">
        <v>73</v>
      </c>
      <c r="K114" s="11">
        <v>1.04</v>
      </c>
      <c r="M114" s="17">
        <v>395.01</v>
      </c>
      <c r="N114" s="16" t="s">
        <v>19</v>
      </c>
      <c r="P114" s="17">
        <v>445.01</v>
      </c>
      <c r="Q114" s="16" t="s">
        <v>19</v>
      </c>
    </row>
    <row r="115" spans="10:17">
      <c r="J115" s="10">
        <v>74</v>
      </c>
      <c r="K115" s="11">
        <v>1.04</v>
      </c>
      <c r="M115" s="15">
        <v>425</v>
      </c>
      <c r="N115" s="16" t="s">
        <v>19</v>
      </c>
      <c r="P115" s="15">
        <v>480</v>
      </c>
      <c r="Q115" s="16" t="s">
        <v>19</v>
      </c>
    </row>
    <row r="116" spans="10:17">
      <c r="J116" s="10">
        <v>75</v>
      </c>
      <c r="K116" s="11">
        <v>1.04</v>
      </c>
      <c r="M116" s="17">
        <v>425.01</v>
      </c>
      <c r="N116" s="16" t="s">
        <v>20</v>
      </c>
      <c r="P116" s="17">
        <v>480.01</v>
      </c>
      <c r="Q116" s="16" t="s">
        <v>20</v>
      </c>
    </row>
    <row r="117" spans="10:17">
      <c r="J117" s="10">
        <v>76</v>
      </c>
      <c r="K117" s="11">
        <v>1.04</v>
      </c>
      <c r="M117" s="15">
        <v>445</v>
      </c>
      <c r="N117" s="16" t="s">
        <v>20</v>
      </c>
      <c r="P117" s="15">
        <v>500</v>
      </c>
      <c r="Q117" s="16" t="s">
        <v>20</v>
      </c>
    </row>
    <row r="118" spans="10:17">
      <c r="J118" s="10">
        <v>77</v>
      </c>
      <c r="K118" s="11">
        <v>1.04</v>
      </c>
      <c r="M118" s="17">
        <v>445.01</v>
      </c>
      <c r="N118" s="16" t="s">
        <v>21</v>
      </c>
      <c r="P118" s="17">
        <v>500.01</v>
      </c>
      <c r="Q118" s="16" t="s">
        <v>21</v>
      </c>
    </row>
    <row r="119" spans="10:17">
      <c r="J119" s="10">
        <v>78</v>
      </c>
      <c r="K119" s="11">
        <v>1</v>
      </c>
      <c r="M119" s="15">
        <v>485</v>
      </c>
      <c r="N119" s="16" t="s">
        <v>21</v>
      </c>
      <c r="P119" s="15">
        <v>545</v>
      </c>
      <c r="Q119" s="16" t="s">
        <v>21</v>
      </c>
    </row>
    <row r="120" spans="10:17">
      <c r="J120" s="10">
        <v>79</v>
      </c>
      <c r="K120" s="11">
        <v>1</v>
      </c>
      <c r="M120" s="17">
        <v>485.01</v>
      </c>
      <c r="N120" s="16" t="s">
        <v>22</v>
      </c>
      <c r="P120" s="17">
        <v>545.01</v>
      </c>
      <c r="Q120" s="16" t="s">
        <v>22</v>
      </c>
    </row>
    <row r="121" spans="10:17">
      <c r="J121" s="10">
        <v>80</v>
      </c>
      <c r="K121" s="11">
        <v>1</v>
      </c>
      <c r="M121" s="15">
        <v>520</v>
      </c>
      <c r="N121" s="16" t="s">
        <v>22</v>
      </c>
      <c r="P121" s="15">
        <v>585</v>
      </c>
      <c r="Q121" s="16" t="s">
        <v>22</v>
      </c>
    </row>
    <row r="122" spans="10:17">
      <c r="J122" s="10">
        <v>81</v>
      </c>
      <c r="K122" s="11">
        <v>1</v>
      </c>
      <c r="M122" s="17">
        <v>520.01</v>
      </c>
      <c r="N122" s="16" t="s">
        <v>23</v>
      </c>
      <c r="P122" s="17">
        <v>585.01</v>
      </c>
      <c r="Q122" s="16" t="s">
        <v>23</v>
      </c>
    </row>
    <row r="123" spans="10:17">
      <c r="J123" s="10">
        <v>82</v>
      </c>
      <c r="K123" s="11">
        <v>1</v>
      </c>
      <c r="M123" s="15">
        <v>545</v>
      </c>
      <c r="N123" s="16" t="s">
        <v>23</v>
      </c>
      <c r="P123" s="15">
        <v>615</v>
      </c>
      <c r="Q123" s="16" t="s">
        <v>23</v>
      </c>
    </row>
    <row r="124" spans="10:17">
      <c r="J124" s="10">
        <v>83</v>
      </c>
      <c r="K124" s="11">
        <v>1</v>
      </c>
      <c r="M124" s="17">
        <v>545.01</v>
      </c>
      <c r="N124" s="16" t="s">
        <v>24</v>
      </c>
      <c r="P124" s="17">
        <v>615.01</v>
      </c>
      <c r="Q124" s="16" t="s">
        <v>24</v>
      </c>
    </row>
    <row r="125" spans="10:17">
      <c r="J125" s="10">
        <v>84</v>
      </c>
      <c r="K125" s="11">
        <v>1</v>
      </c>
      <c r="M125" s="15">
        <v>560</v>
      </c>
      <c r="N125" s="16" t="s">
        <v>24</v>
      </c>
      <c r="P125" s="15">
        <v>630</v>
      </c>
      <c r="Q125" s="16" t="s">
        <v>24</v>
      </c>
    </row>
    <row r="126" spans="10:17">
      <c r="J126" s="10">
        <v>85</v>
      </c>
      <c r="K126" s="11">
        <v>1</v>
      </c>
      <c r="M126" s="12">
        <v>560.01</v>
      </c>
      <c r="N126" s="13" t="s">
        <v>65</v>
      </c>
      <c r="P126" s="12">
        <v>630.01</v>
      </c>
      <c r="Q126" s="13" t="s">
        <v>65</v>
      </c>
    </row>
    <row r="127" spans="10:17">
      <c r="J127" s="10">
        <v>86</v>
      </c>
      <c r="K127" s="11">
        <v>1</v>
      </c>
    </row>
    <row r="128" spans="10:17">
      <c r="J128" s="10">
        <v>87</v>
      </c>
      <c r="K128" s="11">
        <v>0.96</v>
      </c>
    </row>
    <row r="129" spans="10:11">
      <c r="J129" s="10">
        <v>88</v>
      </c>
      <c r="K129" s="11">
        <v>0.96</v>
      </c>
    </row>
    <row r="130" spans="10:11">
      <c r="J130" s="10">
        <v>89</v>
      </c>
      <c r="K130" s="11">
        <v>0.96</v>
      </c>
    </row>
    <row r="131" spans="10:11">
      <c r="J131" s="10">
        <v>90</v>
      </c>
      <c r="K131" s="11">
        <v>0.96</v>
      </c>
    </row>
    <row r="132" spans="10:11">
      <c r="J132" s="10">
        <v>91</v>
      </c>
      <c r="K132" s="11">
        <v>0.96</v>
      </c>
    </row>
    <row r="133" spans="10:11">
      <c r="J133" s="10">
        <v>92</v>
      </c>
      <c r="K133" s="11">
        <v>0.96</v>
      </c>
    </row>
    <row r="134" spans="10:11">
      <c r="J134" s="10">
        <v>93</v>
      </c>
      <c r="K134" s="11">
        <v>0.96</v>
      </c>
    </row>
    <row r="135" spans="10:11">
      <c r="J135" s="10">
        <v>94</v>
      </c>
      <c r="K135" s="11">
        <v>0.96</v>
      </c>
    </row>
    <row r="136" spans="10:11">
      <c r="J136" s="10">
        <v>95</v>
      </c>
      <c r="K136" s="11">
        <v>0.96</v>
      </c>
    </row>
    <row r="137" spans="10:11">
      <c r="J137" s="10">
        <v>96</v>
      </c>
      <c r="K137" s="11">
        <v>0.91</v>
      </c>
    </row>
    <row r="138" spans="10:11">
      <c r="J138" s="10">
        <v>97</v>
      </c>
      <c r="K138" s="11">
        <v>0.91</v>
      </c>
    </row>
    <row r="139" spans="10:11">
      <c r="J139" s="10">
        <v>98</v>
      </c>
      <c r="K139" s="11">
        <v>0.91</v>
      </c>
    </row>
    <row r="140" spans="10:11">
      <c r="J140" s="10">
        <v>99</v>
      </c>
      <c r="K140" s="11">
        <v>0.91</v>
      </c>
    </row>
    <row r="141" spans="10:11">
      <c r="J141" s="10">
        <v>100</v>
      </c>
      <c r="K141" s="11">
        <v>0.91</v>
      </c>
    </row>
    <row r="142" spans="10:11">
      <c r="J142" s="10">
        <v>101</v>
      </c>
      <c r="K142" s="11">
        <v>0.91</v>
      </c>
    </row>
    <row r="143" spans="10:11">
      <c r="J143" s="10">
        <v>102</v>
      </c>
      <c r="K143" s="11">
        <v>0.91</v>
      </c>
    </row>
    <row r="144" spans="10:11">
      <c r="J144" s="10">
        <v>103</v>
      </c>
      <c r="K144" s="11">
        <v>0.91</v>
      </c>
    </row>
    <row r="145" spans="10:11">
      <c r="J145" s="10">
        <v>104</v>
      </c>
      <c r="K145" s="11">
        <v>0.91</v>
      </c>
    </row>
    <row r="146" spans="10:11">
      <c r="J146" s="10">
        <v>105</v>
      </c>
      <c r="K146" s="11">
        <v>0.87</v>
      </c>
    </row>
    <row r="147" spans="10:11">
      <c r="J147" s="10">
        <v>106</v>
      </c>
      <c r="K147" s="11">
        <v>0.87</v>
      </c>
    </row>
    <row r="148" spans="10:11">
      <c r="J148" s="10">
        <v>107</v>
      </c>
      <c r="K148" s="11">
        <v>0.87</v>
      </c>
    </row>
    <row r="149" spans="10:11">
      <c r="J149" s="10">
        <v>108</v>
      </c>
      <c r="K149" s="11">
        <v>0.87</v>
      </c>
    </row>
    <row r="150" spans="10:11">
      <c r="J150" s="10">
        <v>109</v>
      </c>
      <c r="K150" s="11">
        <v>0.87</v>
      </c>
    </row>
    <row r="151" spans="10:11">
      <c r="J151" s="10">
        <v>110</v>
      </c>
      <c r="K151" s="11">
        <v>0.87</v>
      </c>
    </row>
    <row r="152" spans="10:11">
      <c r="J152" s="10">
        <v>111</v>
      </c>
      <c r="K152" s="11">
        <v>0.87</v>
      </c>
    </row>
    <row r="153" spans="10:11">
      <c r="J153" s="10">
        <v>112</v>
      </c>
      <c r="K153" s="11">
        <v>0.87</v>
      </c>
    </row>
    <row r="154" spans="10:11">
      <c r="J154" s="10">
        <v>113</v>
      </c>
      <c r="K154" s="11">
        <v>0.87</v>
      </c>
    </row>
    <row r="155" spans="10:11">
      <c r="J155" s="10">
        <v>114</v>
      </c>
      <c r="K155" s="11">
        <v>0.82</v>
      </c>
    </row>
    <row r="156" spans="10:11">
      <c r="J156" s="10">
        <v>115</v>
      </c>
      <c r="K156" s="11">
        <v>0.82</v>
      </c>
    </row>
    <row r="157" spans="10:11">
      <c r="J157" s="10">
        <v>116</v>
      </c>
      <c r="K157" s="11">
        <v>0.82</v>
      </c>
    </row>
    <row r="158" spans="10:11">
      <c r="J158" s="10">
        <v>117</v>
      </c>
      <c r="K158" s="11">
        <v>0.82</v>
      </c>
    </row>
    <row r="159" spans="10:11">
      <c r="J159" s="10">
        <v>118</v>
      </c>
      <c r="K159" s="11">
        <v>0.82</v>
      </c>
    </row>
    <row r="160" spans="10:11">
      <c r="J160" s="10">
        <v>119</v>
      </c>
      <c r="K160" s="11">
        <v>0.82</v>
      </c>
    </row>
    <row r="161" spans="10:11">
      <c r="J161" s="10">
        <v>120</v>
      </c>
      <c r="K161" s="11">
        <v>0.82</v>
      </c>
    </row>
    <row r="162" spans="10:11">
      <c r="J162" s="10">
        <v>121</v>
      </c>
      <c r="K162" s="11">
        <v>0.82</v>
      </c>
    </row>
    <row r="163" spans="10:11">
      <c r="J163" s="10">
        <v>122</v>
      </c>
      <c r="K163" s="11">
        <v>0.82</v>
      </c>
    </row>
    <row r="164" spans="10:11">
      <c r="J164" s="10">
        <v>123</v>
      </c>
      <c r="K164" s="11">
        <v>0.76</v>
      </c>
    </row>
    <row r="165" spans="10:11">
      <c r="J165" s="10">
        <v>124</v>
      </c>
      <c r="K165" s="11">
        <v>0.76</v>
      </c>
    </row>
    <row r="166" spans="10:11">
      <c r="J166" s="10">
        <v>125</v>
      </c>
      <c r="K166" s="11">
        <v>0.76</v>
      </c>
    </row>
    <row r="167" spans="10:11">
      <c r="J167" s="10">
        <v>126</v>
      </c>
      <c r="K167" s="11">
        <v>0.76</v>
      </c>
    </row>
    <row r="168" spans="10:11">
      <c r="J168" s="10">
        <v>127</v>
      </c>
      <c r="K168" s="11">
        <v>0.76</v>
      </c>
    </row>
    <row r="169" spans="10:11">
      <c r="J169" s="10">
        <v>128</v>
      </c>
      <c r="K169" s="11">
        <v>0.76</v>
      </c>
    </row>
    <row r="170" spans="10:11">
      <c r="J170" s="10">
        <v>129</v>
      </c>
      <c r="K170" s="11">
        <v>0.76</v>
      </c>
    </row>
    <row r="171" spans="10:11">
      <c r="J171" s="10">
        <v>130</v>
      </c>
      <c r="K171" s="11">
        <v>0.76</v>
      </c>
    </row>
    <row r="172" spans="10:11">
      <c r="J172" s="10">
        <v>131</v>
      </c>
      <c r="K172" s="11">
        <v>0.76</v>
      </c>
    </row>
    <row r="173" spans="10:11">
      <c r="J173" s="10">
        <v>132</v>
      </c>
      <c r="K173" s="11">
        <v>0.71</v>
      </c>
    </row>
    <row r="174" spans="10:11">
      <c r="J174" s="10">
        <v>133</v>
      </c>
      <c r="K174" s="11">
        <v>0.71</v>
      </c>
    </row>
    <row r="175" spans="10:11">
      <c r="J175" s="10">
        <v>134</v>
      </c>
      <c r="K175" s="11">
        <v>0.71</v>
      </c>
    </row>
    <row r="176" spans="10:11">
      <c r="J176" s="10">
        <v>135</v>
      </c>
      <c r="K176" s="11">
        <v>0.71</v>
      </c>
    </row>
    <row r="177" spans="10:11">
      <c r="J177" s="10">
        <v>136</v>
      </c>
      <c r="K177" s="11">
        <v>0.71</v>
      </c>
    </row>
    <row r="178" spans="10:11">
      <c r="J178" s="10">
        <v>137</v>
      </c>
      <c r="K178" s="11">
        <v>0.71</v>
      </c>
    </row>
    <row r="179" spans="10:11">
      <c r="J179" s="10">
        <v>138</v>
      </c>
      <c r="K179" s="11">
        <v>0.71</v>
      </c>
    </row>
    <row r="180" spans="10:11">
      <c r="J180" s="10">
        <v>139</v>
      </c>
      <c r="K180" s="11">
        <v>0.71</v>
      </c>
    </row>
    <row r="181" spans="10:11">
      <c r="J181" s="10">
        <v>140</v>
      </c>
      <c r="K181" s="11">
        <v>0.71</v>
      </c>
    </row>
    <row r="182" spans="10:11">
      <c r="J182" s="10">
        <v>141</v>
      </c>
      <c r="K182" s="11">
        <v>0.65</v>
      </c>
    </row>
    <row r="183" spans="10:11">
      <c r="J183" s="10">
        <v>142</v>
      </c>
      <c r="K183" s="11">
        <v>0.65</v>
      </c>
    </row>
    <row r="184" spans="10:11">
      <c r="J184" s="10">
        <v>143</v>
      </c>
      <c r="K184" s="11">
        <v>0.65</v>
      </c>
    </row>
    <row r="185" spans="10:11">
      <c r="J185" s="10">
        <v>144</v>
      </c>
      <c r="K185" s="11">
        <v>0.65</v>
      </c>
    </row>
    <row r="186" spans="10:11">
      <c r="J186" s="10">
        <v>145</v>
      </c>
      <c r="K186" s="11">
        <v>0.65</v>
      </c>
    </row>
    <row r="187" spans="10:11">
      <c r="J187" s="10">
        <v>146</v>
      </c>
      <c r="K187" s="11">
        <v>0.65</v>
      </c>
    </row>
    <row r="188" spans="10:11">
      <c r="J188" s="10">
        <v>147</v>
      </c>
      <c r="K188" s="11">
        <v>0.65</v>
      </c>
    </row>
    <row r="189" spans="10:11">
      <c r="J189" s="10">
        <v>148</v>
      </c>
      <c r="K189" s="11">
        <v>0.65</v>
      </c>
    </row>
    <row r="190" spans="10:11">
      <c r="J190" s="10">
        <v>149</v>
      </c>
      <c r="K190" s="11">
        <v>0.65</v>
      </c>
    </row>
    <row r="191" spans="10:11">
      <c r="J191" s="10">
        <v>150</v>
      </c>
      <c r="K191" s="11">
        <v>0.57999999999999996</v>
      </c>
    </row>
    <row r="192" spans="10:11">
      <c r="J192" s="10">
        <v>151</v>
      </c>
      <c r="K192" s="11">
        <v>0.57999999999999996</v>
      </c>
    </row>
    <row r="193" spans="10:11">
      <c r="J193" s="10">
        <v>152</v>
      </c>
      <c r="K193" s="11">
        <v>0.57999999999999996</v>
      </c>
    </row>
    <row r="194" spans="10:11">
      <c r="J194" s="10">
        <v>153</v>
      </c>
      <c r="K194" s="11">
        <v>0.57999999999999996</v>
      </c>
    </row>
    <row r="195" spans="10:11">
      <c r="J195" s="10">
        <v>154</v>
      </c>
      <c r="K195" s="11">
        <v>0.57999999999999996</v>
      </c>
    </row>
    <row r="196" spans="10:11">
      <c r="J196" s="10">
        <v>155</v>
      </c>
      <c r="K196" s="11">
        <v>0.57999999999999996</v>
      </c>
    </row>
    <row r="197" spans="10:11">
      <c r="J197" s="10">
        <v>156</v>
      </c>
      <c r="K197" s="11">
        <v>0.57999999999999996</v>
      </c>
    </row>
    <row r="198" spans="10:11">
      <c r="J198" s="10">
        <v>157</v>
      </c>
      <c r="K198" s="11">
        <v>0.57999999999999996</v>
      </c>
    </row>
    <row r="199" spans="10:11">
      <c r="J199" s="10">
        <v>158</v>
      </c>
      <c r="K199" s="11">
        <v>0.57999999999999996</v>
      </c>
    </row>
    <row r="200" spans="10:11">
      <c r="J200" s="10">
        <v>159</v>
      </c>
      <c r="K200" s="11">
        <v>0.5</v>
      </c>
    </row>
    <row r="201" spans="10:11">
      <c r="J201" s="10">
        <v>160</v>
      </c>
      <c r="K201" s="11">
        <v>0.5</v>
      </c>
    </row>
    <row r="202" spans="10:11">
      <c r="J202" s="10">
        <v>161</v>
      </c>
      <c r="K202" s="11">
        <v>0.5</v>
      </c>
    </row>
    <row r="203" spans="10:11">
      <c r="J203" s="10">
        <v>162</v>
      </c>
      <c r="K203" s="11">
        <v>0.5</v>
      </c>
    </row>
    <row r="204" spans="10:11">
      <c r="J204" s="10">
        <v>163</v>
      </c>
      <c r="K204" s="11">
        <v>0.5</v>
      </c>
    </row>
    <row r="205" spans="10:11">
      <c r="J205" s="10">
        <v>164</v>
      </c>
      <c r="K205" s="11">
        <v>0.5</v>
      </c>
    </row>
    <row r="206" spans="10:11">
      <c r="J206" s="10">
        <v>165</v>
      </c>
      <c r="K206" s="11">
        <v>0.5</v>
      </c>
    </row>
    <row r="207" spans="10:11">
      <c r="J207" s="10">
        <v>166</v>
      </c>
      <c r="K207" s="11">
        <v>0.5</v>
      </c>
    </row>
    <row r="208" spans="10:11">
      <c r="J208" s="10">
        <v>167</v>
      </c>
      <c r="K208" s="11">
        <v>0.5</v>
      </c>
    </row>
    <row r="209" spans="10:11">
      <c r="J209" s="10">
        <v>168</v>
      </c>
      <c r="K209" s="11">
        <v>0.41</v>
      </c>
    </row>
    <row r="210" spans="10:11">
      <c r="J210" s="10">
        <v>169</v>
      </c>
      <c r="K210" s="11">
        <v>0.41</v>
      </c>
    </row>
    <row r="211" spans="10:11">
      <c r="J211" s="10">
        <v>170</v>
      </c>
      <c r="K211" s="11">
        <v>0.41</v>
      </c>
    </row>
    <row r="212" spans="10:11">
      <c r="J212" s="10">
        <v>171</v>
      </c>
      <c r="K212" s="11">
        <v>0.41</v>
      </c>
    </row>
    <row r="213" spans="10:11">
      <c r="J213" s="10">
        <v>172</v>
      </c>
      <c r="K213" s="11">
        <v>0.41</v>
      </c>
    </row>
    <row r="214" spans="10:11">
      <c r="J214" s="10">
        <v>173</v>
      </c>
      <c r="K214" s="11">
        <v>0.41</v>
      </c>
    </row>
    <row r="215" spans="10:11">
      <c r="J215" s="10">
        <v>174</v>
      </c>
      <c r="K215" s="11">
        <v>0.41</v>
      </c>
    </row>
    <row r="216" spans="10:11">
      <c r="J216" s="10">
        <v>175</v>
      </c>
      <c r="K216" s="11">
        <v>0.41</v>
      </c>
    </row>
    <row r="217" spans="10:11">
      <c r="J217" s="10">
        <v>176</v>
      </c>
      <c r="K217" s="11">
        <v>0.41</v>
      </c>
    </row>
    <row r="218" spans="10:11">
      <c r="J218" s="10">
        <v>177</v>
      </c>
      <c r="K218" s="11">
        <v>0.28999999999999998</v>
      </c>
    </row>
    <row r="219" spans="10:11">
      <c r="J219" s="10">
        <v>178</v>
      </c>
      <c r="K219" s="11">
        <v>0.28999999999999998</v>
      </c>
    </row>
    <row r="220" spans="10:11">
      <c r="J220" s="10">
        <v>179</v>
      </c>
      <c r="K220" s="11">
        <v>0.28999999999999998</v>
      </c>
    </row>
    <row r="221" spans="10:11">
      <c r="J221" s="10">
        <v>180</v>
      </c>
      <c r="K221" s="11">
        <v>0.28999999999999998</v>
      </c>
    </row>
    <row r="222" spans="10:11">
      <c r="J222" s="10">
        <v>181</v>
      </c>
      <c r="K222" s="11">
        <v>0.28999999999999998</v>
      </c>
    </row>
    <row r="223" spans="10:11">
      <c r="J223" s="10">
        <v>182</v>
      </c>
      <c r="K223" s="11">
        <v>0.28999999999999998</v>
      </c>
    </row>
    <row r="224" spans="10:11">
      <c r="J224" s="10">
        <v>183</v>
      </c>
      <c r="K224" s="11">
        <v>0.28999999999999998</v>
      </c>
    </row>
    <row r="225" spans="10:11">
      <c r="J225" s="10">
        <v>184</v>
      </c>
      <c r="K225" s="11">
        <v>0.28999999999999998</v>
      </c>
    </row>
    <row r="226" spans="10:11">
      <c r="J226" s="12">
        <v>185</v>
      </c>
      <c r="K226" s="13">
        <v>0.28999999999999998</v>
      </c>
    </row>
  </sheetData>
  <pageMargins left="0.75" right="0.75" top="1" bottom="1" header="0.5" footer="0.5"/>
  <ignoredErrors>
    <ignoredError sqref="B14:B17" twoDigitTextYear="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2"/>
  <sheetViews>
    <sheetView topLeftCell="AK1" workbookViewId="0">
      <selection activeCell="AW15" sqref="AW15"/>
    </sheetView>
  </sheetViews>
  <sheetFormatPr baseColWidth="10" defaultRowHeight="15" x14ac:dyDescent="0"/>
  <cols>
    <col min="15" max="16" width="10.7109375" style="1" customWidth="1"/>
    <col min="17" max="17" width="3.28515625" style="1" customWidth="1"/>
  </cols>
  <sheetData>
    <row r="1" spans="1:51" s="1" customFormat="1">
      <c r="A1" s="46" t="s">
        <v>60</v>
      </c>
      <c r="B1" s="41" t="s">
        <v>67</v>
      </c>
      <c r="C1" s="41" t="s">
        <v>69</v>
      </c>
      <c r="D1" s="41" t="s">
        <v>70</v>
      </c>
      <c r="E1" s="41" t="s">
        <v>71</v>
      </c>
      <c r="F1" s="41" t="s">
        <v>72</v>
      </c>
      <c r="G1" s="41" t="s">
        <v>172</v>
      </c>
      <c r="H1" s="41" t="s">
        <v>173</v>
      </c>
      <c r="I1" s="46" t="s">
        <v>61</v>
      </c>
      <c r="J1" s="41" t="s">
        <v>68</v>
      </c>
      <c r="K1" s="41" t="s">
        <v>73</v>
      </c>
      <c r="L1" s="41" t="s">
        <v>74</v>
      </c>
      <c r="M1" s="41" t="s">
        <v>75</v>
      </c>
      <c r="N1" s="41" t="s">
        <v>76</v>
      </c>
      <c r="O1" s="41" t="s">
        <v>174</v>
      </c>
      <c r="P1" s="36" t="s">
        <v>175</v>
      </c>
      <c r="R1" s="46" t="s">
        <v>77</v>
      </c>
      <c r="S1" s="41" t="s">
        <v>78</v>
      </c>
      <c r="T1" s="41" t="s">
        <v>79</v>
      </c>
      <c r="U1" s="41" t="s">
        <v>80</v>
      </c>
      <c r="V1" s="41" t="s">
        <v>81</v>
      </c>
      <c r="W1" s="41" t="s">
        <v>82</v>
      </c>
      <c r="X1" s="41" t="s">
        <v>176</v>
      </c>
      <c r="Y1" s="41" t="s">
        <v>177</v>
      </c>
      <c r="Z1" s="46" t="s">
        <v>83</v>
      </c>
      <c r="AA1" s="41" t="s">
        <v>84</v>
      </c>
      <c r="AB1" s="41" t="s">
        <v>85</v>
      </c>
      <c r="AC1" s="41" t="s">
        <v>86</v>
      </c>
      <c r="AD1" s="41" t="s">
        <v>87</v>
      </c>
      <c r="AE1" s="41" t="s">
        <v>88</v>
      </c>
      <c r="AF1" s="41" t="s">
        <v>178</v>
      </c>
      <c r="AG1" s="36" t="s">
        <v>179</v>
      </c>
      <c r="AI1" s="46" t="s">
        <v>61</v>
      </c>
      <c r="AJ1" s="41" t="s">
        <v>68</v>
      </c>
      <c r="AK1" s="41" t="s">
        <v>73</v>
      </c>
      <c r="AL1" s="41" t="s">
        <v>74</v>
      </c>
      <c r="AM1" s="41" t="s">
        <v>75</v>
      </c>
      <c r="AN1" s="41" t="s">
        <v>76</v>
      </c>
      <c r="AO1" s="41" t="s">
        <v>174</v>
      </c>
      <c r="AP1" s="36" t="s">
        <v>175</v>
      </c>
      <c r="AR1" s="46" t="s">
        <v>169</v>
      </c>
      <c r="AS1" s="41" t="s">
        <v>68</v>
      </c>
      <c r="AT1" s="41" t="s">
        <v>73</v>
      </c>
      <c r="AU1" s="41" t="s">
        <v>74</v>
      </c>
      <c r="AV1" s="41" t="s">
        <v>75</v>
      </c>
      <c r="AW1" s="41" t="s">
        <v>76</v>
      </c>
      <c r="AX1" s="41" t="s">
        <v>174</v>
      </c>
      <c r="AY1" s="36" t="s">
        <v>175</v>
      </c>
    </row>
    <row r="2" spans="1:51" s="1" customFormat="1">
      <c r="A2" s="44">
        <f t="shared" ref="A2:N2" si="0">SUM(A5:A34)</f>
        <v>0</v>
      </c>
      <c r="B2" s="29">
        <f t="shared" si="0"/>
        <v>1500000</v>
      </c>
      <c r="C2" s="29">
        <f t="shared" si="0"/>
        <v>600000</v>
      </c>
      <c r="D2" s="29">
        <f t="shared" si="0"/>
        <v>350000</v>
      </c>
      <c r="E2" s="29">
        <f t="shared" si="0"/>
        <v>250000</v>
      </c>
      <c r="F2" s="29">
        <f t="shared" si="0"/>
        <v>167800</v>
      </c>
      <c r="G2" s="29">
        <f>SUM(G5:G34)</f>
        <v>133100</v>
      </c>
      <c r="H2" s="29">
        <f>SUM(H5:H34)</f>
        <v>105600</v>
      </c>
      <c r="I2" s="44">
        <f t="shared" si="0"/>
        <v>0</v>
      </c>
      <c r="J2" s="29">
        <f t="shared" si="0"/>
        <v>1000000</v>
      </c>
      <c r="K2" s="29">
        <f t="shared" si="0"/>
        <v>500000</v>
      </c>
      <c r="L2" s="29">
        <f t="shared" si="0"/>
        <v>300000</v>
      </c>
      <c r="M2" s="29">
        <f t="shared" si="0"/>
        <v>211600</v>
      </c>
      <c r="N2" s="29">
        <f t="shared" si="0"/>
        <v>167800</v>
      </c>
      <c r="O2" s="29">
        <f>SUM(O5:O34)</f>
        <v>133100</v>
      </c>
      <c r="P2" s="30">
        <f>SUM(P5:P34)</f>
        <v>105600</v>
      </c>
      <c r="R2" s="44">
        <f t="shared" ref="R2:AE2" si="1">SUM(R5:R34)</f>
        <v>0</v>
      </c>
      <c r="S2" s="29">
        <f t="shared" si="1"/>
        <v>0</v>
      </c>
      <c r="T2" s="29">
        <f t="shared" si="1"/>
        <v>900000</v>
      </c>
      <c r="U2" s="29">
        <f t="shared" si="1"/>
        <v>500000</v>
      </c>
      <c r="V2" s="29">
        <f t="shared" si="1"/>
        <v>350000</v>
      </c>
      <c r="W2" s="29">
        <f t="shared" si="1"/>
        <v>250000</v>
      </c>
      <c r="X2" s="29">
        <f>SUM(X5:X34)</f>
        <v>211600</v>
      </c>
      <c r="Y2" s="29">
        <f>SUM(Y5:Y34)</f>
        <v>167800</v>
      </c>
      <c r="Z2" s="44">
        <f t="shared" si="1"/>
        <v>0</v>
      </c>
      <c r="AA2" s="29">
        <f t="shared" si="1"/>
        <v>1750000</v>
      </c>
      <c r="AB2" s="29">
        <f t="shared" si="1"/>
        <v>700000</v>
      </c>
      <c r="AC2" s="29">
        <f t="shared" si="1"/>
        <v>400000</v>
      </c>
      <c r="AD2" s="29">
        <f t="shared" si="1"/>
        <v>300000</v>
      </c>
      <c r="AE2" s="29">
        <f t="shared" si="1"/>
        <v>211600</v>
      </c>
      <c r="AF2" s="29">
        <f>SUM(AF5:AF34)</f>
        <v>167800</v>
      </c>
      <c r="AG2" s="30">
        <f>SUM(AG5:AG34)</f>
        <v>133100</v>
      </c>
      <c r="AI2" s="44">
        <f t="shared" ref="AI2:AP2" si="2">SUM(AI5:AI34)</f>
        <v>750000</v>
      </c>
      <c r="AJ2" s="29">
        <f t="shared" si="2"/>
        <v>600000</v>
      </c>
      <c r="AK2" s="29">
        <f t="shared" si="2"/>
        <v>600000</v>
      </c>
      <c r="AL2" s="29">
        <f t="shared" si="2"/>
        <v>350000</v>
      </c>
      <c r="AM2" s="29">
        <f t="shared" si="2"/>
        <v>250000</v>
      </c>
      <c r="AN2" s="29">
        <f t="shared" si="2"/>
        <v>167800</v>
      </c>
      <c r="AO2" s="29">
        <f t="shared" si="2"/>
        <v>133100</v>
      </c>
      <c r="AP2" s="30">
        <f t="shared" si="2"/>
        <v>105600</v>
      </c>
      <c r="AR2" s="44">
        <f>SUM(AR5:AR32)</f>
        <v>750000</v>
      </c>
      <c r="AS2" s="29">
        <f>SUM(AS14:AS32)</f>
        <v>250000</v>
      </c>
      <c r="AT2" s="29">
        <f>SUM(AT14:AT32)</f>
        <v>1000000</v>
      </c>
      <c r="AU2" s="29">
        <f>SUM(AU14:AU32)</f>
        <v>600000</v>
      </c>
      <c r="AV2" s="29">
        <f>SUM(AV14:AV32)</f>
        <v>500000</v>
      </c>
      <c r="AW2" s="29">
        <f>SUM(AW14:AW32)</f>
        <v>350000</v>
      </c>
      <c r="AX2" s="29">
        <f>SUM(AX14:AX32)</f>
        <v>250000</v>
      </c>
      <c r="AY2" s="30">
        <f>SUM(AY14:AY32)</f>
        <v>211600</v>
      </c>
    </row>
    <row r="3" spans="1:51">
      <c r="A3" s="34"/>
      <c r="B3" s="38"/>
      <c r="C3" s="38"/>
      <c r="D3" s="38"/>
      <c r="E3" s="38"/>
      <c r="F3" s="38"/>
      <c r="G3" s="38"/>
      <c r="I3" s="34"/>
      <c r="J3" s="38"/>
      <c r="K3" s="38"/>
      <c r="L3" s="38"/>
      <c r="M3" s="38"/>
      <c r="N3" s="38"/>
      <c r="O3" s="38"/>
      <c r="P3" s="40"/>
      <c r="R3" s="34"/>
      <c r="S3" s="38"/>
      <c r="T3" s="38"/>
      <c r="U3" s="38"/>
      <c r="V3" s="38"/>
      <c r="W3" s="38"/>
      <c r="X3" s="38"/>
      <c r="Y3" s="38"/>
      <c r="Z3" s="34"/>
      <c r="AA3" s="38"/>
      <c r="AB3" s="38"/>
      <c r="AC3" s="38"/>
      <c r="AD3" s="38"/>
      <c r="AE3" s="38"/>
      <c r="AF3" s="38"/>
      <c r="AG3" s="40"/>
      <c r="AI3" s="34"/>
      <c r="AJ3" s="38"/>
      <c r="AK3" s="38"/>
      <c r="AL3" s="38"/>
      <c r="AM3" s="38"/>
      <c r="AN3" s="38"/>
      <c r="AO3" s="38"/>
      <c r="AP3" s="40"/>
      <c r="AR3" s="34"/>
      <c r="AS3" s="38"/>
      <c r="AT3" s="38"/>
      <c r="AU3" s="38"/>
      <c r="AV3" s="38"/>
      <c r="AW3" s="38"/>
      <c r="AX3" s="38"/>
      <c r="AY3" s="40"/>
    </row>
    <row r="4" spans="1:51">
      <c r="A4" s="34"/>
      <c r="B4" s="38"/>
      <c r="C4" s="38"/>
      <c r="D4" s="38"/>
      <c r="E4" s="38"/>
      <c r="F4" s="38"/>
      <c r="G4" s="38"/>
      <c r="I4" s="34"/>
      <c r="J4" s="38"/>
      <c r="K4" s="38"/>
      <c r="L4" s="38"/>
      <c r="M4" s="38"/>
      <c r="N4" s="38"/>
      <c r="O4" s="38"/>
      <c r="P4" s="40"/>
      <c r="R4" s="34"/>
      <c r="S4" s="38"/>
      <c r="T4" s="38"/>
      <c r="U4" s="38"/>
      <c r="V4" s="38"/>
      <c r="W4" s="38"/>
      <c r="X4" s="38"/>
      <c r="Y4" s="38"/>
      <c r="Z4" s="34"/>
      <c r="AA4" s="38"/>
      <c r="AB4" s="38"/>
      <c r="AC4" s="38"/>
      <c r="AD4" s="38"/>
      <c r="AE4" s="38"/>
      <c r="AF4" s="38"/>
      <c r="AG4" s="40"/>
      <c r="AI4" s="34"/>
      <c r="AJ4" s="38"/>
      <c r="AK4" s="38"/>
      <c r="AL4" s="38"/>
      <c r="AM4" s="38"/>
      <c r="AN4" s="38"/>
      <c r="AO4" s="38"/>
      <c r="AP4" s="40"/>
      <c r="AR4" s="34"/>
      <c r="AS4" s="38"/>
      <c r="AT4" s="38"/>
      <c r="AU4" s="38"/>
      <c r="AV4" s="38"/>
      <c r="AW4" s="38"/>
      <c r="AX4" s="38"/>
      <c r="AY4" s="40"/>
    </row>
    <row r="5" spans="1:51">
      <c r="A5" s="34">
        <f>IF(OR(Ampacity!E$5=14,Ampacity!E$5="14"),4110,0)</f>
        <v>0</v>
      </c>
      <c r="B5" s="38">
        <f>IF(OR(Ampacity!F$5=14,Ampacity!F$5="14"),4110,0)</f>
        <v>0</v>
      </c>
      <c r="C5" s="38">
        <f>IF(OR(Ampacity!G$5=14,Ampacity!G$5="14"),4110,0)</f>
        <v>0</v>
      </c>
      <c r="D5" s="38">
        <f>IF(OR(Ampacity!H$5=14,Ampacity!H$5="14"),4110,0)</f>
        <v>0</v>
      </c>
      <c r="E5" s="38">
        <f>IF(OR(Ampacity!I$5=14,Ampacity!I$5="14"),4110,0)</f>
        <v>0</v>
      </c>
      <c r="F5" s="38">
        <f>IF(OR(Ampacity!J$5=14,Ampacity!J$5="14"),4110,0)</f>
        <v>0</v>
      </c>
      <c r="G5" s="38">
        <f>IF(OR(Ampacity!K$5=14,Ampacity!K$5="14"),4110,0)</f>
        <v>0</v>
      </c>
      <c r="H5" s="38">
        <f>IF(OR(Ampacity!L$5=14,Ampacity!L$5="14"),4110,0)</f>
        <v>0</v>
      </c>
      <c r="I5" s="34">
        <f>IF(OR(Ampacity!E$9=14,Ampacity!E$9="14"),4110,0)</f>
        <v>0</v>
      </c>
      <c r="J5" s="38">
        <f>IF(OR(Ampacity!F$9=14,Ampacity!F$9="14"),4110,0)</f>
        <v>0</v>
      </c>
      <c r="K5" s="38">
        <f>IF(OR(Ampacity!G$9=14,Ampacity!G$9="14"),4110,0)</f>
        <v>0</v>
      </c>
      <c r="L5" s="38">
        <f>IF(OR(Ampacity!H$9=14,Ampacity!H$9="14"),4110,0)</f>
        <v>0</v>
      </c>
      <c r="M5" s="38">
        <f>IF(OR(Ampacity!I$9=14,Ampacity!I$9="14"),4110,0)</f>
        <v>0</v>
      </c>
      <c r="N5" s="38">
        <f>IF(OR(Ampacity!J$9=14,Ampacity!J$9="14"),4110,0)</f>
        <v>0</v>
      </c>
      <c r="O5" s="38">
        <f>IF(OR(Ampacity!K$9=14,Ampacity!K$9="14"),4110,0)</f>
        <v>0</v>
      </c>
      <c r="P5" s="40">
        <f>IF(OR(Ampacity!L$9=14,Ampacity!L$9="14"),4110,0)</f>
        <v>0</v>
      </c>
      <c r="R5" s="34">
        <f>IF(OR(Ampacity!E$28=14,Ampacity!E$28="14"),4110,0)</f>
        <v>0</v>
      </c>
      <c r="S5" s="38">
        <f>IF(OR(Ampacity!F$28=14,Ampacity!F$28="14"),4110,0)</f>
        <v>0</v>
      </c>
      <c r="T5" s="38">
        <f>IF(OR(Ampacity!G$28=14,Ampacity!G$28="14"),4110,0)</f>
        <v>0</v>
      </c>
      <c r="U5" s="38">
        <f>IF(OR(Ampacity!H$28=14,Ampacity!H$28="14"),4110,0)</f>
        <v>0</v>
      </c>
      <c r="V5" s="38">
        <f>IF(OR(Ampacity!I$28=14,Ampacity!I$28="14"),4110,0)</f>
        <v>0</v>
      </c>
      <c r="W5" s="38">
        <f>IF(OR(Ampacity!J$28=14,Ampacity!J$28="14"),4110,0)</f>
        <v>0</v>
      </c>
      <c r="X5" s="38">
        <f>IF(OR(Ampacity!K$28=14,Ampacity!K$28="14"),4110,0)</f>
        <v>0</v>
      </c>
      <c r="Y5" s="38">
        <f>IF(OR(Ampacity!L$28=14,Ampacity!L$28="14"),4110,0)</f>
        <v>0</v>
      </c>
      <c r="Z5" s="34">
        <f>IF(OR(Ampacity!E$32=14,Ampacity!E$32="14"),4110,0)</f>
        <v>0</v>
      </c>
      <c r="AA5" s="38">
        <f>IF(OR(Ampacity!F$32=14,Ampacity!F$32="14"),4110,0)</f>
        <v>0</v>
      </c>
      <c r="AB5" s="38">
        <f>IF(OR(Ampacity!G$32=14,Ampacity!G$32="14"),4110,0)</f>
        <v>0</v>
      </c>
      <c r="AC5" s="38">
        <f>IF(OR(Ampacity!H$32=14,Ampacity!H$32="14"),4110,0)</f>
        <v>0</v>
      </c>
      <c r="AD5" s="38">
        <f>IF(OR(Ampacity!I$32=14,Ampacity!I$32="14"),4110,0)</f>
        <v>0</v>
      </c>
      <c r="AE5" s="38">
        <f>IF(OR(Ampacity!J$32=14,Ampacity!J$32="14"),4110,0)</f>
        <v>0</v>
      </c>
      <c r="AF5" s="38">
        <f>IF(OR(Ampacity!K$32=14,Ampacity!K$32="14"),4110,0)</f>
        <v>0</v>
      </c>
      <c r="AG5" s="40">
        <f>IF(OR(Ampacity!L$32=14,Ampacity!L$32="14"),4110,0)</f>
        <v>0</v>
      </c>
      <c r="AI5" s="34">
        <f>IF(OR(Ampacity!N$5=14,Ampacity!N$5="14"),4110,0)</f>
        <v>0</v>
      </c>
      <c r="AJ5" s="38">
        <f>IF(OR(Ampacity!O$5=14,Ampacity!O$5="14"),4110,0)</f>
        <v>0</v>
      </c>
      <c r="AK5" s="38">
        <f>IF(OR(Ampacity!P$5=14,Ampacity!P$5="14"),4110,0)</f>
        <v>0</v>
      </c>
      <c r="AL5" s="38">
        <f>IF(OR(Ampacity!Q$5=14,Ampacity!Q$5="14"),4110,0)</f>
        <v>0</v>
      </c>
      <c r="AM5" s="38">
        <f>IF(OR(Ampacity!R$5=14,Ampacity!R$5="14"),4110,0)</f>
        <v>0</v>
      </c>
      <c r="AN5" s="38">
        <f>IF(OR(Ampacity!S$5=14,Ampacity!S$5="14"),4110,0)</f>
        <v>0</v>
      </c>
      <c r="AO5" s="38">
        <f>IF(OR(Ampacity!T$5=14,Ampacity!T$5="14"),4110,0)</f>
        <v>0</v>
      </c>
      <c r="AP5" s="40">
        <f>IF(OR(Ampacity!U$5=14,Ampacity!U$5="14"),4110,0)</f>
        <v>0</v>
      </c>
      <c r="AR5" s="34">
        <f>IF(OR(Ampacity!N28=14,Ampacity!N28="14"),4110,0)</f>
        <v>0</v>
      </c>
      <c r="AS5" s="38"/>
      <c r="AT5" s="38"/>
      <c r="AU5" s="38"/>
      <c r="AV5" s="38"/>
      <c r="AW5" s="38"/>
      <c r="AX5" s="38"/>
      <c r="AY5" s="40"/>
    </row>
    <row r="6" spans="1:51">
      <c r="A6" s="34">
        <f>IF(OR(Ampacity!E$5=12,Ampacity!E$5="12"),6530,0)</f>
        <v>0</v>
      </c>
      <c r="B6" s="38">
        <f>IF(OR(Ampacity!F$5=12,Ampacity!F$5="12"),6530,0)</f>
        <v>0</v>
      </c>
      <c r="C6" s="38">
        <f>IF(OR(Ampacity!G$5=12,Ampacity!G$5="12"),6530,0)</f>
        <v>0</v>
      </c>
      <c r="D6" s="38">
        <f>IF(OR(Ampacity!H$5=12,Ampacity!H$5="12"),6530,0)</f>
        <v>0</v>
      </c>
      <c r="E6" s="38">
        <f>IF(OR(Ampacity!I$5=12,Ampacity!I$5="12"),6530,0)</f>
        <v>0</v>
      </c>
      <c r="F6" s="38">
        <f>IF(OR(Ampacity!J$5=12,Ampacity!J$5="12"),6530,0)</f>
        <v>0</v>
      </c>
      <c r="G6" s="38">
        <f>IF(OR(Ampacity!K$5=12,Ampacity!K$5="12"),6530,0)</f>
        <v>0</v>
      </c>
      <c r="H6" s="38">
        <f>IF(OR(Ampacity!L$5=12,Ampacity!L$5="12"),6530,0)</f>
        <v>0</v>
      </c>
      <c r="I6" s="34">
        <f>IF(OR(Ampacity!E$9=12,Ampacity!E$9="12"),6530,0)</f>
        <v>0</v>
      </c>
      <c r="J6" s="38">
        <f>IF(OR(Ampacity!F$9=12,Ampacity!F$9="12"),6530,0)</f>
        <v>0</v>
      </c>
      <c r="K6" s="38">
        <f>IF(OR(Ampacity!G$9=12,Ampacity!G$9="12"),6530,0)</f>
        <v>0</v>
      </c>
      <c r="L6" s="38">
        <f>IF(OR(Ampacity!H$9=12,Ampacity!H$9="12"),6530,0)</f>
        <v>0</v>
      </c>
      <c r="M6" s="38">
        <f>IF(OR(Ampacity!I$9=12,Ampacity!I$9="12"),6530,0)</f>
        <v>0</v>
      </c>
      <c r="N6" s="38">
        <f>IF(OR(Ampacity!J$9=12,Ampacity!J$9="12"),6530,0)</f>
        <v>0</v>
      </c>
      <c r="O6" s="38">
        <f>IF(OR(Ampacity!K$9=12,Ampacity!K$9="12"),6530,0)</f>
        <v>0</v>
      </c>
      <c r="P6" s="40">
        <f>IF(OR(Ampacity!L$9=12,Ampacity!L$9="12"),6530,0)</f>
        <v>0</v>
      </c>
      <c r="R6" s="34">
        <f>IF(OR(Ampacity!E$28=12,Ampacity!E$28="12"),6530,0)</f>
        <v>0</v>
      </c>
      <c r="S6" s="38">
        <f>IF(OR(Ampacity!F$28=12,Ampacity!F$28="12"),6530,0)</f>
        <v>0</v>
      </c>
      <c r="T6" s="38">
        <f>IF(OR(Ampacity!G$28=12,Ampacity!G$28="12"),6530,0)</f>
        <v>0</v>
      </c>
      <c r="U6" s="38">
        <f>IF(OR(Ampacity!H$28=12,Ampacity!H$28="12"),6530,0)</f>
        <v>0</v>
      </c>
      <c r="V6" s="38">
        <f>IF(OR(Ampacity!I$28=12,Ampacity!I$28="12"),6530,0)</f>
        <v>0</v>
      </c>
      <c r="W6" s="38">
        <f>IF(OR(Ampacity!J$28=12,Ampacity!J$28="12"),6530,0)</f>
        <v>0</v>
      </c>
      <c r="X6" s="38">
        <f>IF(OR(Ampacity!K$28=12,Ampacity!K$28="12"),6530,0)</f>
        <v>0</v>
      </c>
      <c r="Y6" s="38">
        <f>IF(OR(Ampacity!L$28=12,Ampacity!L$28="12"),6530,0)</f>
        <v>0</v>
      </c>
      <c r="Z6" s="34">
        <f>IF(OR(Ampacity!E$32=12,Ampacity!E$32="12"),6530,0)</f>
        <v>0</v>
      </c>
      <c r="AA6" s="38">
        <f>IF(OR(Ampacity!F$32=12,Ampacity!F$32="12"),6530,0)</f>
        <v>0</v>
      </c>
      <c r="AB6" s="38">
        <f>IF(OR(Ampacity!G$32=12,Ampacity!G$32="12"),6530,0)</f>
        <v>0</v>
      </c>
      <c r="AC6" s="38">
        <f>IF(OR(Ampacity!H$32=12,Ampacity!H$32="12"),6530,0)</f>
        <v>0</v>
      </c>
      <c r="AD6" s="38">
        <f>IF(OR(Ampacity!I$32=12,Ampacity!I$32="12"),6530,0)</f>
        <v>0</v>
      </c>
      <c r="AE6" s="38">
        <f>IF(OR(Ampacity!J$32=12,Ampacity!J$32="12"),6530,0)</f>
        <v>0</v>
      </c>
      <c r="AF6" s="38">
        <f>IF(OR(Ampacity!K$32=12,Ampacity!K$32="12"),6530,0)</f>
        <v>0</v>
      </c>
      <c r="AG6" s="40">
        <f>IF(OR(Ampacity!L$32=12,Ampacity!L$32="12"),6530,0)</f>
        <v>0</v>
      </c>
      <c r="AI6" s="34">
        <f>IF(OR(Ampacity!N$5=12,Ampacity!N$5="12"),6530,0)</f>
        <v>0</v>
      </c>
      <c r="AJ6" s="38">
        <f>IF(OR(Ampacity!O$5=12,Ampacity!O$5="12"),6530,0)</f>
        <v>0</v>
      </c>
      <c r="AK6" s="38">
        <f>IF(OR(Ampacity!P$5=12,Ampacity!P$5="12"),6530,0)</f>
        <v>0</v>
      </c>
      <c r="AL6" s="38">
        <f>IF(OR(Ampacity!Q$5=12,Ampacity!Q$5="12"),6530,0)</f>
        <v>0</v>
      </c>
      <c r="AM6" s="38">
        <f>IF(OR(Ampacity!R$5=12,Ampacity!R$5="12"),6530,0)</f>
        <v>0</v>
      </c>
      <c r="AN6" s="38">
        <f>IF(OR(Ampacity!S$5=12,Ampacity!S$5="12"),6530,0)</f>
        <v>0</v>
      </c>
      <c r="AO6" s="38">
        <f>IF(OR(Ampacity!T$5=12,Ampacity!T$5="12"),6530,0)</f>
        <v>0</v>
      </c>
      <c r="AP6" s="40">
        <f>IF(OR(Ampacity!U$5=12,Ampacity!U$5="12"),6530,0)</f>
        <v>0</v>
      </c>
      <c r="AR6" s="34">
        <f>IF(OR(Ampacity!N28=12,Ampacity!N28="12"),6530,0)</f>
        <v>0</v>
      </c>
      <c r="AS6" s="38"/>
      <c r="AT6" s="38"/>
      <c r="AU6" s="38"/>
      <c r="AV6" s="38"/>
      <c r="AW6" s="38"/>
      <c r="AX6" s="38"/>
      <c r="AY6" s="40"/>
    </row>
    <row r="7" spans="1:51">
      <c r="A7" s="34">
        <f>IF(OR(Ampacity!E$5=10,Ampacity!E$5="10"),10380,0)</f>
        <v>0</v>
      </c>
      <c r="B7" s="38">
        <f>IF(OR(Ampacity!F$5=10,Ampacity!F$5="10"),10380,0)</f>
        <v>0</v>
      </c>
      <c r="C7" s="38">
        <f>IF(OR(Ampacity!G$5=10,Ampacity!G$5="10"),10380,0)</f>
        <v>0</v>
      </c>
      <c r="D7" s="38">
        <f>IF(OR(Ampacity!H$5=10,Ampacity!H$5="10"),10380,0)</f>
        <v>0</v>
      </c>
      <c r="E7" s="38">
        <f>IF(OR(Ampacity!I$5=10,Ampacity!I$5="10"),10380,0)</f>
        <v>0</v>
      </c>
      <c r="F7" s="38">
        <f>IF(OR(Ampacity!J$5=10,Ampacity!J$5="10"),10380,0)</f>
        <v>0</v>
      </c>
      <c r="G7" s="38">
        <f>IF(OR(Ampacity!K$5=10,Ampacity!K$5="10"),10380,0)</f>
        <v>0</v>
      </c>
      <c r="H7" s="38">
        <f>IF(OR(Ampacity!L$5=10,Ampacity!L$5="10"),10380,0)</f>
        <v>0</v>
      </c>
      <c r="I7" s="34">
        <f>IF(OR(Ampacity!E$9=10,Ampacity!E$9="10"),10380,0)</f>
        <v>0</v>
      </c>
      <c r="J7" s="38">
        <f>IF(OR(Ampacity!F$9=10,Ampacity!F$9="10"),10380,0)</f>
        <v>0</v>
      </c>
      <c r="K7" s="38">
        <f>IF(OR(Ampacity!G$9=10,Ampacity!G$9="10"),10380,0)</f>
        <v>0</v>
      </c>
      <c r="L7" s="38">
        <f>IF(OR(Ampacity!H$9=10,Ampacity!H$9="10"),10380,0)</f>
        <v>0</v>
      </c>
      <c r="M7" s="38">
        <f>IF(OR(Ampacity!I$9=10,Ampacity!I$9="10"),10380,0)</f>
        <v>0</v>
      </c>
      <c r="N7" s="38">
        <f>IF(OR(Ampacity!J$9=10,Ampacity!J$9="10"),10380,0)</f>
        <v>0</v>
      </c>
      <c r="O7" s="38">
        <f>IF(OR(Ampacity!K$9=10,Ampacity!K$9="10"),10380,0)</f>
        <v>0</v>
      </c>
      <c r="P7" s="40">
        <f>IF(OR(Ampacity!L$9=10,Ampacity!L$9="10"),10380,0)</f>
        <v>0</v>
      </c>
      <c r="R7" s="34">
        <f>IF(OR(Ampacity!E$28=10,Ampacity!E$28="10"),10380,0)</f>
        <v>0</v>
      </c>
      <c r="S7" s="38">
        <f>IF(OR(Ampacity!F$28=10,Ampacity!F$28="10"),10380,0)</f>
        <v>0</v>
      </c>
      <c r="T7" s="38">
        <f>IF(OR(Ampacity!G$28=10,Ampacity!G$28="10"),10380,0)</f>
        <v>0</v>
      </c>
      <c r="U7" s="38">
        <f>IF(OR(Ampacity!H$28=10,Ampacity!H$28="10"),10380,0)</f>
        <v>0</v>
      </c>
      <c r="V7" s="38">
        <f>IF(OR(Ampacity!I$28=10,Ampacity!I$28="10"),10380,0)</f>
        <v>0</v>
      </c>
      <c r="W7" s="38">
        <f>IF(OR(Ampacity!J$28=10,Ampacity!J$28="10"),10380,0)</f>
        <v>0</v>
      </c>
      <c r="X7" s="38">
        <f>IF(OR(Ampacity!K$28=10,Ampacity!K$28="10"),10380,0)</f>
        <v>0</v>
      </c>
      <c r="Y7" s="38">
        <f>IF(OR(Ampacity!L$28=10,Ampacity!L$28="10"),10380,0)</f>
        <v>0</v>
      </c>
      <c r="Z7" s="34">
        <f>IF(OR(Ampacity!E$32=10,Ampacity!E$32="10"),10380,0)</f>
        <v>0</v>
      </c>
      <c r="AA7" s="38">
        <f>IF(OR(Ampacity!F$32=10,Ampacity!F$32="10"),10380,0)</f>
        <v>0</v>
      </c>
      <c r="AB7" s="38">
        <f>IF(OR(Ampacity!G$32=10,Ampacity!G$32="10"),10380,0)</f>
        <v>0</v>
      </c>
      <c r="AC7" s="38">
        <f>IF(OR(Ampacity!H$32=10,Ampacity!H$32="10"),10380,0)</f>
        <v>0</v>
      </c>
      <c r="AD7" s="38">
        <f>IF(OR(Ampacity!I$32=10,Ampacity!I$32="10"),10380,0)</f>
        <v>0</v>
      </c>
      <c r="AE7" s="38">
        <f>IF(OR(Ampacity!J$32=10,Ampacity!J$32="10"),10380,0)</f>
        <v>0</v>
      </c>
      <c r="AF7" s="38">
        <f>IF(OR(Ampacity!K$32=10,Ampacity!K$32="10"),10380,0)</f>
        <v>0</v>
      </c>
      <c r="AG7" s="40">
        <f>IF(OR(Ampacity!L$32=10,Ampacity!L$32="10"),10380,0)</f>
        <v>0</v>
      </c>
      <c r="AI7" s="34">
        <f>IF(OR(Ampacity!N$5=10,Ampacity!N$5="10"),10380,0)</f>
        <v>0</v>
      </c>
      <c r="AJ7" s="38">
        <f>IF(OR(Ampacity!O$5=10,Ampacity!O$5="10"),10380,0)</f>
        <v>0</v>
      </c>
      <c r="AK7" s="38">
        <f>IF(OR(Ampacity!P$5=10,Ampacity!P$5="10"),10380,0)</f>
        <v>0</v>
      </c>
      <c r="AL7" s="38">
        <f>IF(OR(Ampacity!Q$5=10,Ampacity!Q$5="10"),10380,0)</f>
        <v>0</v>
      </c>
      <c r="AM7" s="38">
        <f>IF(OR(Ampacity!R$5=10,Ampacity!R$5="10"),10380,0)</f>
        <v>0</v>
      </c>
      <c r="AN7" s="38">
        <f>IF(OR(Ampacity!S$5=10,Ampacity!S$5="10"),10380,0)</f>
        <v>0</v>
      </c>
      <c r="AO7" s="38">
        <f>IF(OR(Ampacity!T$5=10,Ampacity!T$5="10"),10380,0)</f>
        <v>0</v>
      </c>
      <c r="AP7" s="40">
        <f>IF(OR(Ampacity!U$5=10,Ampacity!U$5="10"),10380,0)</f>
        <v>0</v>
      </c>
      <c r="AR7" s="34">
        <f>IF(OR(Ampacity!N28=10,Ampacity!N28="10"),10380,0)</f>
        <v>0</v>
      </c>
      <c r="AS7" s="38"/>
      <c r="AT7" s="38"/>
      <c r="AU7" s="38"/>
      <c r="AV7" s="38"/>
      <c r="AW7" s="38"/>
      <c r="AX7" s="38"/>
      <c r="AY7" s="40"/>
    </row>
    <row r="8" spans="1:51">
      <c r="A8" s="34">
        <f>IF(OR(Ampacity!E$5=8,Ampacity!E$5="8"),16510,0)</f>
        <v>0</v>
      </c>
      <c r="B8" s="38">
        <f>IF(OR(Ampacity!F$5=8,Ampacity!F$5="8"),16510,0)</f>
        <v>0</v>
      </c>
      <c r="C8" s="38">
        <f>IF(OR(Ampacity!G$5=8,Ampacity!G$5="8"),16510,0)</f>
        <v>0</v>
      </c>
      <c r="D8" s="38">
        <f>IF(OR(Ampacity!H$5=8,Ampacity!H$5="8"),16510,0)</f>
        <v>0</v>
      </c>
      <c r="E8" s="38">
        <f>IF(OR(Ampacity!I$5=8,Ampacity!I$5="8"),16510,0)</f>
        <v>0</v>
      </c>
      <c r="F8" s="38">
        <f>IF(OR(Ampacity!J$5=8,Ampacity!J$5="8"),16510,0)</f>
        <v>0</v>
      </c>
      <c r="G8" s="38">
        <f>IF(OR(Ampacity!K$5=8,Ampacity!K$5="8"),16510,0)</f>
        <v>0</v>
      </c>
      <c r="H8" s="38">
        <f>IF(OR(Ampacity!L$5=8,Ampacity!L$5="8"),16510,0)</f>
        <v>0</v>
      </c>
      <c r="I8" s="34">
        <f>IF(OR(Ampacity!E$9=8,Ampacity!E$9="8"),16510,0)</f>
        <v>0</v>
      </c>
      <c r="J8" s="38">
        <f>IF(OR(Ampacity!F$9=8,Ampacity!F$9="8"),16510,0)</f>
        <v>0</v>
      </c>
      <c r="K8" s="38">
        <f>IF(OR(Ampacity!G$9=8,Ampacity!G$9="8"),16510,0)</f>
        <v>0</v>
      </c>
      <c r="L8" s="38">
        <f>IF(OR(Ampacity!H$9=8,Ampacity!H$9="8"),16510,0)</f>
        <v>0</v>
      </c>
      <c r="M8" s="38">
        <f>IF(OR(Ampacity!I$9=8,Ampacity!I$9="8"),16510,0)</f>
        <v>0</v>
      </c>
      <c r="N8" s="38">
        <f>IF(OR(Ampacity!J$9=8,Ampacity!J$9="8"),16510,0)</f>
        <v>0</v>
      </c>
      <c r="O8" s="38">
        <f>IF(OR(Ampacity!K$9=8,Ampacity!K$9="8"),16510,0)</f>
        <v>0</v>
      </c>
      <c r="P8" s="40">
        <f>IF(OR(Ampacity!L$9=8,Ampacity!L$9="8"),16510,0)</f>
        <v>0</v>
      </c>
      <c r="R8" s="34">
        <f>IF(OR(Ampacity!E$28=8,Ampacity!E$28="8"),16510,0)</f>
        <v>0</v>
      </c>
      <c r="S8" s="38">
        <f>IF(OR(Ampacity!F$28=8,Ampacity!F$28="8"),16510,0)</f>
        <v>0</v>
      </c>
      <c r="T8" s="38">
        <f>IF(OR(Ampacity!G$28=8,Ampacity!G$28="8"),16510,0)</f>
        <v>0</v>
      </c>
      <c r="U8" s="38">
        <f>IF(OR(Ampacity!H$28=8,Ampacity!H$28="8"),16510,0)</f>
        <v>0</v>
      </c>
      <c r="V8" s="38">
        <f>IF(OR(Ampacity!I$28=8,Ampacity!I$28="8"),16510,0)</f>
        <v>0</v>
      </c>
      <c r="W8" s="38">
        <f>IF(OR(Ampacity!J$28=8,Ampacity!J$28="8"),16510,0)</f>
        <v>0</v>
      </c>
      <c r="X8" s="38">
        <f>IF(OR(Ampacity!K$28=8,Ampacity!K$28="8"),16510,0)</f>
        <v>0</v>
      </c>
      <c r="Y8" s="38">
        <f>IF(OR(Ampacity!L$28=8,Ampacity!L$28="8"),16510,0)</f>
        <v>0</v>
      </c>
      <c r="Z8" s="34">
        <f>IF(OR(Ampacity!E$32=8,Ampacity!E$32="8"),16510,0)</f>
        <v>0</v>
      </c>
      <c r="AA8" s="38">
        <f>IF(OR(Ampacity!F$32=8,Ampacity!F$32="8"),16510,0)</f>
        <v>0</v>
      </c>
      <c r="AB8" s="38">
        <f>IF(OR(Ampacity!G$32=8,Ampacity!G$32="8"),16510,0)</f>
        <v>0</v>
      </c>
      <c r="AC8" s="38">
        <f>IF(OR(Ampacity!H$32=8,Ampacity!H$32="8"),16510,0)</f>
        <v>0</v>
      </c>
      <c r="AD8" s="38">
        <f>IF(OR(Ampacity!I$32=8,Ampacity!I$32="8"),16510,0)</f>
        <v>0</v>
      </c>
      <c r="AE8" s="38">
        <f>IF(OR(Ampacity!J$32=8,Ampacity!J$32="8"),16510,0)</f>
        <v>0</v>
      </c>
      <c r="AF8" s="38">
        <f>IF(OR(Ampacity!K$32=8,Ampacity!K$32="8"),16510,0)</f>
        <v>0</v>
      </c>
      <c r="AG8" s="40">
        <f>IF(OR(Ampacity!L$32=8,Ampacity!L$32="8"),16510,0)</f>
        <v>0</v>
      </c>
      <c r="AI8" s="34">
        <f>IF(OR(Ampacity!N$5=8,Ampacity!N$5="8"),16510,0)</f>
        <v>0</v>
      </c>
      <c r="AJ8" s="38">
        <f>IF(OR(Ampacity!O$5=8,Ampacity!O$5="8"),16510,0)</f>
        <v>0</v>
      </c>
      <c r="AK8" s="38">
        <f>IF(OR(Ampacity!P$5=8,Ampacity!P$5="8"),16510,0)</f>
        <v>0</v>
      </c>
      <c r="AL8" s="38">
        <f>IF(OR(Ampacity!Q$5=8,Ampacity!Q$5="8"),16510,0)</f>
        <v>0</v>
      </c>
      <c r="AM8" s="38">
        <f>IF(OR(Ampacity!R$5=8,Ampacity!R$5="8"),16510,0)</f>
        <v>0</v>
      </c>
      <c r="AN8" s="38">
        <f>IF(OR(Ampacity!S$5=8,Ampacity!S$5="8"),16510,0)</f>
        <v>0</v>
      </c>
      <c r="AO8" s="38">
        <f>IF(OR(Ampacity!T$5=8,Ampacity!T$5="8"),16510,0)</f>
        <v>0</v>
      </c>
      <c r="AP8" s="40">
        <f>IF(OR(Ampacity!U$5=8,Ampacity!U$5="8"),16510,0)</f>
        <v>0</v>
      </c>
      <c r="AR8" s="34">
        <f>IF(OR(Ampacity!N28=8,Ampacity!N28="8"),16510,0)</f>
        <v>0</v>
      </c>
      <c r="AS8" s="38"/>
      <c r="AT8" s="38"/>
      <c r="AU8" s="38"/>
      <c r="AV8" s="38"/>
      <c r="AW8" s="38"/>
      <c r="AX8" s="38"/>
      <c r="AY8" s="40"/>
    </row>
    <row r="9" spans="1:51">
      <c r="A9" s="34">
        <f>IF(OR(Ampacity!E$5=6,Ampacity!E$5="6"),26240,0)</f>
        <v>0</v>
      </c>
      <c r="B9" s="38">
        <f>IF(OR(Ampacity!F$5=6,Ampacity!F$5="6"),26240,0)</f>
        <v>0</v>
      </c>
      <c r="C9" s="38">
        <f>IF(OR(Ampacity!G$5=6,Ampacity!G$5="6"),26240,0)</f>
        <v>0</v>
      </c>
      <c r="D9" s="38">
        <f>IF(OR(Ampacity!H$5=6,Ampacity!H$5="6"),26240,0)</f>
        <v>0</v>
      </c>
      <c r="E9" s="38">
        <f>IF(OR(Ampacity!I$5=6,Ampacity!I$5="6"),26240,0)</f>
        <v>0</v>
      </c>
      <c r="F9" s="38">
        <f>IF(OR(Ampacity!J$5=6,Ampacity!J$5="6"),26240,0)</f>
        <v>0</v>
      </c>
      <c r="G9" s="38">
        <f>IF(OR(Ampacity!K$5=6,Ampacity!K$5="6"),26240,0)</f>
        <v>0</v>
      </c>
      <c r="H9" s="38">
        <f>IF(OR(Ampacity!L$5=6,Ampacity!L$5="6"),26240,0)</f>
        <v>0</v>
      </c>
      <c r="I9" s="34">
        <f>IF(OR(Ampacity!E$9=6,Ampacity!E$9="6"),26240,0)</f>
        <v>0</v>
      </c>
      <c r="J9" s="38">
        <f>IF(OR(Ampacity!F$9=6,Ampacity!F$9="6"),26240,0)</f>
        <v>0</v>
      </c>
      <c r="K9" s="38">
        <f>IF(OR(Ampacity!G$9=6,Ampacity!G$9="6"),26240,0)</f>
        <v>0</v>
      </c>
      <c r="L9" s="38">
        <f>IF(OR(Ampacity!H$9=6,Ampacity!H$9="6"),26240,0)</f>
        <v>0</v>
      </c>
      <c r="M9" s="38">
        <f>IF(OR(Ampacity!I$9=6,Ampacity!I$9="6"),26240,0)</f>
        <v>0</v>
      </c>
      <c r="N9" s="38">
        <f>IF(OR(Ampacity!J$9=6,Ampacity!J$9="6"),26240,0)</f>
        <v>0</v>
      </c>
      <c r="O9" s="38">
        <f>IF(OR(Ampacity!K$9=6,Ampacity!K$9="6"),26240,0)</f>
        <v>0</v>
      </c>
      <c r="P9" s="40">
        <f>IF(OR(Ampacity!L$9=6,Ampacity!L$9="6"),26240,0)</f>
        <v>0</v>
      </c>
      <c r="R9" s="34">
        <f>IF(OR(Ampacity!E$28=6,Ampacity!E$28="6"),26240,0)</f>
        <v>0</v>
      </c>
      <c r="S9" s="38">
        <f>IF(OR(Ampacity!F$28=6,Ampacity!F$28="6"),26240,0)</f>
        <v>0</v>
      </c>
      <c r="T9" s="38">
        <f>IF(OR(Ampacity!G$28=6,Ampacity!G$28="6"),26240,0)</f>
        <v>0</v>
      </c>
      <c r="U9" s="38">
        <f>IF(OR(Ampacity!H$28=6,Ampacity!H$28="6"),26240,0)</f>
        <v>0</v>
      </c>
      <c r="V9" s="38">
        <f>IF(OR(Ampacity!I$28=6,Ampacity!I$28="6"),26240,0)</f>
        <v>0</v>
      </c>
      <c r="W9" s="38">
        <f>IF(OR(Ampacity!J$28=6,Ampacity!J$28="6"),26240,0)</f>
        <v>0</v>
      </c>
      <c r="X9" s="38">
        <f>IF(OR(Ampacity!K$28=6,Ampacity!K$28="6"),26240,0)</f>
        <v>0</v>
      </c>
      <c r="Y9" s="38">
        <f>IF(OR(Ampacity!L$28=6,Ampacity!L$28="6"),26240,0)</f>
        <v>0</v>
      </c>
      <c r="Z9" s="34">
        <f>IF(OR(Ampacity!E$32=6,Ampacity!E$32="6"),26240,0)</f>
        <v>0</v>
      </c>
      <c r="AA9" s="38">
        <f>IF(OR(Ampacity!F$32=6,Ampacity!F$32="6"),26240,0)</f>
        <v>0</v>
      </c>
      <c r="AB9" s="38">
        <f>IF(OR(Ampacity!G$32=6,Ampacity!G$32="6"),26240,0)</f>
        <v>0</v>
      </c>
      <c r="AC9" s="38">
        <f>IF(OR(Ampacity!H$32=6,Ampacity!H$32="6"),26240,0)</f>
        <v>0</v>
      </c>
      <c r="AD9" s="38">
        <f>IF(OR(Ampacity!I$32=6,Ampacity!I$32="6"),26240,0)</f>
        <v>0</v>
      </c>
      <c r="AE9" s="38">
        <f>IF(OR(Ampacity!J$32=6,Ampacity!J$32="6"),26240,0)</f>
        <v>0</v>
      </c>
      <c r="AF9" s="38">
        <f>IF(OR(Ampacity!K$32=6,Ampacity!K$32="6"),26240,0)</f>
        <v>0</v>
      </c>
      <c r="AG9" s="40">
        <f>IF(OR(Ampacity!L$32=6,Ampacity!L$32="6"),26240,0)</f>
        <v>0</v>
      </c>
      <c r="AI9" s="34">
        <f>IF(OR(Ampacity!N$5=6,Ampacity!N$5="6"),26240,0)</f>
        <v>0</v>
      </c>
      <c r="AJ9" s="38">
        <f>IF(OR(Ampacity!O$5=6,Ampacity!O$5="6"),26240,0)</f>
        <v>0</v>
      </c>
      <c r="AK9" s="38">
        <f>IF(OR(Ampacity!P$5=6,Ampacity!P$5="6"),26240,0)</f>
        <v>0</v>
      </c>
      <c r="AL9" s="38">
        <f>IF(OR(Ampacity!Q$5=6,Ampacity!Q$5="6"),26240,0)</f>
        <v>0</v>
      </c>
      <c r="AM9" s="38">
        <f>IF(OR(Ampacity!R$5=6,Ampacity!R$5="6"),26240,0)</f>
        <v>0</v>
      </c>
      <c r="AN9" s="38">
        <f>IF(OR(Ampacity!S$5=6,Ampacity!S$5="6"),26240,0)</f>
        <v>0</v>
      </c>
      <c r="AO9" s="38">
        <f>IF(OR(Ampacity!T$5=6,Ampacity!T$5="6"),26240,0)</f>
        <v>0</v>
      </c>
      <c r="AP9" s="40">
        <f>IF(OR(Ampacity!U$5=6,Ampacity!U$5="6"),26240,0)</f>
        <v>0</v>
      </c>
      <c r="AR9" s="34">
        <f>IF(OR(Ampacity!N28=6,Ampacity!N28="6"),26240,0)</f>
        <v>0</v>
      </c>
      <c r="AS9" s="38"/>
      <c r="AT9" s="38"/>
      <c r="AU9" s="38"/>
      <c r="AV9" s="38"/>
      <c r="AW9" s="38"/>
      <c r="AX9" s="38"/>
      <c r="AY9" s="40"/>
    </row>
    <row r="10" spans="1:51">
      <c r="A10" s="34">
        <f>IF(OR(Ampacity!E$5=4,Ampacity!E$5="4"),41740,0)</f>
        <v>0</v>
      </c>
      <c r="B10" s="38">
        <f>IF(OR(Ampacity!F$5=4,Ampacity!F$5="4"),41740,0)</f>
        <v>0</v>
      </c>
      <c r="C10" s="38">
        <f>IF(OR(Ampacity!G$5=4,Ampacity!G$5="4"),41740,0)</f>
        <v>0</v>
      </c>
      <c r="D10" s="38">
        <f>IF(OR(Ampacity!H$5=4,Ampacity!H$5="4"),41740,0)</f>
        <v>0</v>
      </c>
      <c r="E10" s="38">
        <f>IF(OR(Ampacity!I$5=4,Ampacity!I$5="4"),41740,0)</f>
        <v>0</v>
      </c>
      <c r="F10" s="38">
        <f>IF(OR(Ampacity!J$5=4,Ampacity!J$5="4"),41740,0)</f>
        <v>0</v>
      </c>
      <c r="G10" s="38">
        <f>IF(OR(Ampacity!K$5=4,Ampacity!K$5="4"),41740,0)</f>
        <v>0</v>
      </c>
      <c r="H10" s="38">
        <f>IF(OR(Ampacity!L$5=4,Ampacity!L$5="4"),41740,0)</f>
        <v>0</v>
      </c>
      <c r="I10" s="34">
        <f>IF(OR(Ampacity!E$9=4,Ampacity!E$9="4"),41740,0)</f>
        <v>0</v>
      </c>
      <c r="J10" s="38">
        <f>IF(OR(Ampacity!F$9=4,Ampacity!F$9="4"),41740,0)</f>
        <v>0</v>
      </c>
      <c r="K10" s="38">
        <f>IF(OR(Ampacity!G$9=4,Ampacity!G$9="4"),41740,0)</f>
        <v>0</v>
      </c>
      <c r="L10" s="38">
        <f>IF(OR(Ampacity!H$9=4,Ampacity!H$9="4"),41740,0)</f>
        <v>0</v>
      </c>
      <c r="M10" s="38">
        <f>IF(OR(Ampacity!I$9=4,Ampacity!I$9="4"),41740,0)</f>
        <v>0</v>
      </c>
      <c r="N10" s="38">
        <f>IF(OR(Ampacity!J$9=4,Ampacity!J$9="4"),41740,0)</f>
        <v>0</v>
      </c>
      <c r="O10" s="38">
        <f>IF(OR(Ampacity!K$9=4,Ampacity!K$9="4"),41740,0)</f>
        <v>0</v>
      </c>
      <c r="P10" s="40">
        <f>IF(OR(Ampacity!L$9=4,Ampacity!L$9="4"),41740,0)</f>
        <v>0</v>
      </c>
      <c r="R10" s="34">
        <f>IF(OR(Ampacity!E$28=4,Ampacity!E$28="4"),41740,0)</f>
        <v>0</v>
      </c>
      <c r="S10" s="38">
        <f>IF(OR(Ampacity!F$28=4,Ampacity!F$28="4"),41740,0)</f>
        <v>0</v>
      </c>
      <c r="T10" s="38">
        <f>IF(OR(Ampacity!G$28=4,Ampacity!G$28="4"),41740,0)</f>
        <v>0</v>
      </c>
      <c r="U10" s="38">
        <f>IF(OR(Ampacity!H$28=4,Ampacity!H$28="4"),41740,0)</f>
        <v>0</v>
      </c>
      <c r="V10" s="38">
        <f>IF(OR(Ampacity!I$28=4,Ampacity!I$28="4"),41740,0)</f>
        <v>0</v>
      </c>
      <c r="W10" s="38">
        <f>IF(OR(Ampacity!J$28=4,Ampacity!J$28="4"),41740,0)</f>
        <v>0</v>
      </c>
      <c r="X10" s="38">
        <f>IF(OR(Ampacity!K$28=4,Ampacity!K$28="4"),41740,0)</f>
        <v>0</v>
      </c>
      <c r="Y10" s="38">
        <f>IF(OR(Ampacity!L$28=4,Ampacity!L$28="4"),41740,0)</f>
        <v>0</v>
      </c>
      <c r="Z10" s="34">
        <f>IF(OR(Ampacity!E$32=4,Ampacity!E$32="4"),41740,0)</f>
        <v>0</v>
      </c>
      <c r="AA10" s="38">
        <f>IF(OR(Ampacity!F$32=4,Ampacity!F$32="4"),41740,0)</f>
        <v>0</v>
      </c>
      <c r="AB10" s="38">
        <f>IF(OR(Ampacity!G$32=4,Ampacity!G$32="4"),41740,0)</f>
        <v>0</v>
      </c>
      <c r="AC10" s="38">
        <f>IF(OR(Ampacity!H$32=4,Ampacity!H$32="4"),41740,0)</f>
        <v>0</v>
      </c>
      <c r="AD10" s="38">
        <f>IF(OR(Ampacity!I$32=4,Ampacity!I$32="4"),41740,0)</f>
        <v>0</v>
      </c>
      <c r="AE10" s="38">
        <f>IF(OR(Ampacity!J$32=4,Ampacity!J$32="4"),41740,0)</f>
        <v>0</v>
      </c>
      <c r="AF10" s="38">
        <f>IF(OR(Ampacity!K$32=4,Ampacity!K$32="4"),41740,0)</f>
        <v>0</v>
      </c>
      <c r="AG10" s="40">
        <f>IF(OR(Ampacity!L$32=4,Ampacity!L$32="4"),41740,0)</f>
        <v>0</v>
      </c>
      <c r="AI10" s="34">
        <f>IF(OR(Ampacity!N$5=4,Ampacity!N$5="4"),41740,0)</f>
        <v>0</v>
      </c>
      <c r="AJ10" s="38">
        <f>IF(OR(Ampacity!O$5=4,Ampacity!O$5="4"),41740,0)</f>
        <v>0</v>
      </c>
      <c r="AK10" s="38">
        <f>IF(OR(Ampacity!P$5=4,Ampacity!P$5="4"),41740,0)</f>
        <v>0</v>
      </c>
      <c r="AL10" s="38">
        <f>IF(OR(Ampacity!Q$5=4,Ampacity!Q$5="4"),41740,0)</f>
        <v>0</v>
      </c>
      <c r="AM10" s="38">
        <f>IF(OR(Ampacity!R$5=4,Ampacity!R$5="4"),41740,0)</f>
        <v>0</v>
      </c>
      <c r="AN10" s="38">
        <f>IF(OR(Ampacity!S$5=4,Ampacity!S$5="4"),41740,0)</f>
        <v>0</v>
      </c>
      <c r="AO10" s="38">
        <f>IF(OR(Ampacity!T$5=4,Ampacity!T$5="4"),41740,0)</f>
        <v>0</v>
      </c>
      <c r="AP10" s="40">
        <f>IF(OR(Ampacity!U$5=4,Ampacity!U$5="4"),41740,0)</f>
        <v>0</v>
      </c>
      <c r="AR10" s="34">
        <f>IF(OR(Ampacity!N28=4,Ampacity!N28="4"),41740,0)</f>
        <v>0</v>
      </c>
      <c r="AS10" s="38"/>
      <c r="AT10" s="38"/>
      <c r="AU10" s="38"/>
      <c r="AV10" s="38"/>
      <c r="AW10" s="38"/>
      <c r="AX10" s="38"/>
      <c r="AY10" s="40"/>
    </row>
    <row r="11" spans="1:51">
      <c r="A11" s="34">
        <f>IF(OR(Ampacity!E$5=3,Ampacity!E$5="3"),52620,0)</f>
        <v>0</v>
      </c>
      <c r="B11" s="38">
        <f>IF(OR(Ampacity!F$5=3,Ampacity!F$5="3"),52620,0)</f>
        <v>0</v>
      </c>
      <c r="C11" s="38">
        <f>IF(OR(Ampacity!G$5=3,Ampacity!G$5="3"),52620,0)</f>
        <v>0</v>
      </c>
      <c r="D11" s="38">
        <f>IF(OR(Ampacity!H$5=3,Ampacity!H$5="3"),52620,0)</f>
        <v>0</v>
      </c>
      <c r="E11" s="38">
        <f>IF(OR(Ampacity!I$5=3,Ampacity!I$5="3"),52620,0)</f>
        <v>0</v>
      </c>
      <c r="F11" s="38">
        <f>IF(OR(Ampacity!J$5=3,Ampacity!J$5="3"),52620,0)</f>
        <v>0</v>
      </c>
      <c r="G11" s="38">
        <f>IF(OR(Ampacity!K$5=3,Ampacity!K$5="3"),52620,0)</f>
        <v>0</v>
      </c>
      <c r="H11" s="38">
        <f>IF(OR(Ampacity!L$5=3,Ampacity!L$5="3"),52620,0)</f>
        <v>0</v>
      </c>
      <c r="I11" s="34">
        <f>IF(OR(Ampacity!E$9=3,Ampacity!E$9="3"),52620,0)</f>
        <v>0</v>
      </c>
      <c r="J11" s="38">
        <f>IF(OR(Ampacity!F$9=3,Ampacity!F$9="3"),52620,0)</f>
        <v>0</v>
      </c>
      <c r="K11" s="38">
        <f>IF(OR(Ampacity!G$9=3,Ampacity!G$9="3"),52620,0)</f>
        <v>0</v>
      </c>
      <c r="L11" s="38">
        <f>IF(OR(Ampacity!H$9=3,Ampacity!H$9="3"),52620,0)</f>
        <v>0</v>
      </c>
      <c r="M11" s="38">
        <f>IF(OR(Ampacity!I$9=3,Ampacity!I$9="3"),52620,0)</f>
        <v>0</v>
      </c>
      <c r="N11" s="38">
        <f>IF(OR(Ampacity!J$9=3,Ampacity!J$9="3"),52620,0)</f>
        <v>0</v>
      </c>
      <c r="O11" s="38">
        <f>IF(OR(Ampacity!K$9=3,Ampacity!K$9="3"),52620,0)</f>
        <v>0</v>
      </c>
      <c r="P11" s="40">
        <f>IF(OR(Ampacity!L$9=3,Ampacity!L$9="3"),52620,0)</f>
        <v>0</v>
      </c>
      <c r="R11" s="34">
        <f>IF(OR(Ampacity!E$28=3,Ampacity!E$28="3"),52620,0)</f>
        <v>0</v>
      </c>
      <c r="S11" s="38">
        <f>IF(OR(Ampacity!F$28=3,Ampacity!F$28="3"),52620,0)</f>
        <v>0</v>
      </c>
      <c r="T11" s="38">
        <f>IF(OR(Ampacity!G$28=3,Ampacity!G$28="3"),52620,0)</f>
        <v>0</v>
      </c>
      <c r="U11" s="38">
        <f>IF(OR(Ampacity!H$28=3,Ampacity!H$28="3"),52620,0)</f>
        <v>0</v>
      </c>
      <c r="V11" s="38">
        <f>IF(OR(Ampacity!I$28=3,Ampacity!I$28="3"),52620,0)</f>
        <v>0</v>
      </c>
      <c r="W11" s="38">
        <f>IF(OR(Ampacity!J$28=3,Ampacity!J$28="3"),52620,0)</f>
        <v>0</v>
      </c>
      <c r="X11" s="38">
        <f>IF(OR(Ampacity!K$28=3,Ampacity!K$28="3"),52620,0)</f>
        <v>0</v>
      </c>
      <c r="Y11" s="38">
        <f>IF(OR(Ampacity!L$28=3,Ampacity!L$28="3"),52620,0)</f>
        <v>0</v>
      </c>
      <c r="Z11" s="34">
        <f>IF(OR(Ampacity!E$32=3,Ampacity!E$32="3"),52620,0)</f>
        <v>0</v>
      </c>
      <c r="AA11" s="38">
        <f>IF(OR(Ampacity!F$32=3,Ampacity!F$32="3"),52620,0)</f>
        <v>0</v>
      </c>
      <c r="AB11" s="38">
        <f>IF(OR(Ampacity!G$32=3,Ampacity!G$32="3"),52620,0)</f>
        <v>0</v>
      </c>
      <c r="AC11" s="38">
        <f>IF(OR(Ampacity!H$32=3,Ampacity!H$32="3"),52620,0)</f>
        <v>0</v>
      </c>
      <c r="AD11" s="38">
        <f>IF(OR(Ampacity!I$32=3,Ampacity!I$32="3"),52620,0)</f>
        <v>0</v>
      </c>
      <c r="AE11" s="38">
        <f>IF(OR(Ampacity!J$32=3,Ampacity!J$32="3"),52620,0)</f>
        <v>0</v>
      </c>
      <c r="AF11" s="38">
        <f>IF(OR(Ampacity!K$32=3,Ampacity!K$32="3"),52620,0)</f>
        <v>0</v>
      </c>
      <c r="AG11" s="40">
        <f>IF(OR(Ampacity!L$32=3,Ampacity!L$32="3"),52620,0)</f>
        <v>0</v>
      </c>
      <c r="AI11" s="34">
        <f>IF(OR(Ampacity!N$5=3,Ampacity!N$5="3"),52620,0)</f>
        <v>0</v>
      </c>
      <c r="AJ11" s="38">
        <f>IF(OR(Ampacity!O$5=3,Ampacity!O$5="3"),52620,0)</f>
        <v>0</v>
      </c>
      <c r="AK11" s="38">
        <f>IF(OR(Ampacity!P$5=3,Ampacity!P$5="3"),52620,0)</f>
        <v>0</v>
      </c>
      <c r="AL11" s="38">
        <f>IF(OR(Ampacity!Q$5=3,Ampacity!Q$5="3"),52620,0)</f>
        <v>0</v>
      </c>
      <c r="AM11" s="38">
        <f>IF(OR(Ampacity!R$5=3,Ampacity!R$5="3"),52620,0)</f>
        <v>0</v>
      </c>
      <c r="AN11" s="38">
        <f>IF(OR(Ampacity!S$5=3,Ampacity!S$5="3"),52620,0)</f>
        <v>0</v>
      </c>
      <c r="AO11" s="38">
        <f>IF(OR(Ampacity!T$5=3,Ampacity!T$5="3"),52620,0)</f>
        <v>0</v>
      </c>
      <c r="AP11" s="40">
        <f>IF(OR(Ampacity!U$5=3,Ampacity!U$5="3"),52620,0)</f>
        <v>0</v>
      </c>
      <c r="AR11" s="34">
        <f>IF(OR(Ampacity!N28=3,Ampacity!N28="3"),52620,0)</f>
        <v>0</v>
      </c>
      <c r="AS11" s="38"/>
      <c r="AT11" s="38"/>
      <c r="AU11" s="38"/>
      <c r="AV11" s="38"/>
      <c r="AW11" s="38"/>
      <c r="AX11" s="38"/>
      <c r="AY11" s="40"/>
    </row>
    <row r="12" spans="1:51">
      <c r="A12" s="34">
        <f>IF(OR(Ampacity!E$5=2,Ampacity!E$5="2"),66360,0)</f>
        <v>0</v>
      </c>
      <c r="B12" s="38">
        <f>IF(OR(Ampacity!F$5=2,Ampacity!F$5="2"),66360,0)</f>
        <v>0</v>
      </c>
      <c r="C12" s="38">
        <f>IF(OR(Ampacity!G$5=2,Ampacity!G$5="2"),66360,0)</f>
        <v>0</v>
      </c>
      <c r="D12" s="38">
        <f>IF(OR(Ampacity!H$5=2,Ampacity!H$5="2"),66360,0)</f>
        <v>0</v>
      </c>
      <c r="E12" s="38">
        <f>IF(OR(Ampacity!I$5=2,Ampacity!I$5="2"),66360,0)</f>
        <v>0</v>
      </c>
      <c r="F12" s="38">
        <f>IF(OR(Ampacity!J$5=2,Ampacity!J$5="2"),66360,0)</f>
        <v>0</v>
      </c>
      <c r="G12" s="38">
        <f>IF(OR(Ampacity!K$5=2,Ampacity!K$5="2"),66360,0)</f>
        <v>0</v>
      </c>
      <c r="H12" s="38">
        <f>IF(OR(Ampacity!L$5=2,Ampacity!L$5="2"),66360,0)</f>
        <v>0</v>
      </c>
      <c r="I12" s="34">
        <f>IF(OR(Ampacity!E$9=2,Ampacity!E$9="2"),66360,0)</f>
        <v>0</v>
      </c>
      <c r="J12" s="38">
        <f>IF(OR(Ampacity!F$9=2,Ampacity!F$9="2"),66360,0)</f>
        <v>0</v>
      </c>
      <c r="K12" s="38">
        <f>IF(OR(Ampacity!G$9=2,Ampacity!G$9="2"),66360,0)</f>
        <v>0</v>
      </c>
      <c r="L12" s="38">
        <f>IF(OR(Ampacity!H$9=2,Ampacity!H$9="2"),66360,0)</f>
        <v>0</v>
      </c>
      <c r="M12" s="38">
        <f>IF(OR(Ampacity!I$9=2,Ampacity!I$9="2"),66360,0)</f>
        <v>0</v>
      </c>
      <c r="N12" s="38">
        <f>IF(OR(Ampacity!J$9=2,Ampacity!J$9="2"),66360,0)</f>
        <v>0</v>
      </c>
      <c r="O12" s="38">
        <f>IF(OR(Ampacity!K$9=2,Ampacity!K$9="2"),66360,0)</f>
        <v>0</v>
      </c>
      <c r="P12" s="40">
        <f>IF(OR(Ampacity!L$9=2,Ampacity!L$9="2"),66360,0)</f>
        <v>0</v>
      </c>
      <c r="R12" s="34">
        <f>IF(OR(Ampacity!E$28=2,Ampacity!E$28="2"),66360,0)</f>
        <v>0</v>
      </c>
      <c r="S12" s="38">
        <f>IF(OR(Ampacity!F$28=2,Ampacity!F$28="2"),66360,0)</f>
        <v>0</v>
      </c>
      <c r="T12" s="38">
        <f>IF(OR(Ampacity!G$28=2,Ampacity!G$28="2"),66360,0)</f>
        <v>0</v>
      </c>
      <c r="U12" s="38">
        <f>IF(OR(Ampacity!H$28=2,Ampacity!H$28="2"),66360,0)</f>
        <v>0</v>
      </c>
      <c r="V12" s="38">
        <f>IF(OR(Ampacity!I$28=2,Ampacity!I$28="2"),66360,0)</f>
        <v>0</v>
      </c>
      <c r="W12" s="38">
        <f>IF(OR(Ampacity!J$28=2,Ampacity!J$28="2"),66360,0)</f>
        <v>0</v>
      </c>
      <c r="X12" s="38">
        <f>IF(OR(Ampacity!K$28=2,Ampacity!K$28="2"),66360,0)</f>
        <v>0</v>
      </c>
      <c r="Y12" s="38">
        <f>IF(OR(Ampacity!L$28=2,Ampacity!L$28="2"),66360,0)</f>
        <v>0</v>
      </c>
      <c r="Z12" s="34">
        <f>IF(OR(Ampacity!E$32=2,Ampacity!E$32="2"),66360,0)</f>
        <v>0</v>
      </c>
      <c r="AA12" s="38">
        <f>IF(OR(Ampacity!F$32=2,Ampacity!F$32="2"),66360,0)</f>
        <v>0</v>
      </c>
      <c r="AB12" s="38">
        <f>IF(OR(Ampacity!G$32=2,Ampacity!G$32="2"),66360,0)</f>
        <v>0</v>
      </c>
      <c r="AC12" s="38">
        <f>IF(OR(Ampacity!H$32=2,Ampacity!H$32="2"),66360,0)</f>
        <v>0</v>
      </c>
      <c r="AD12" s="38">
        <f>IF(OR(Ampacity!I$32=2,Ampacity!I$32="2"),66360,0)</f>
        <v>0</v>
      </c>
      <c r="AE12" s="38">
        <f>IF(OR(Ampacity!J$32=2,Ampacity!J$32="2"),66360,0)</f>
        <v>0</v>
      </c>
      <c r="AF12" s="38">
        <f>IF(OR(Ampacity!K$32=2,Ampacity!K$32="2"),66360,0)</f>
        <v>0</v>
      </c>
      <c r="AG12" s="40">
        <f>IF(OR(Ampacity!L$32=2,Ampacity!L$32="2"),66360,0)</f>
        <v>0</v>
      </c>
      <c r="AI12" s="34">
        <f>IF(OR(Ampacity!N$5=2,Ampacity!N$5="2"),66360,0)</f>
        <v>0</v>
      </c>
      <c r="AJ12" s="38">
        <f>IF(OR(Ampacity!O$5=2,Ampacity!O$5="2"),66360,0)</f>
        <v>0</v>
      </c>
      <c r="AK12" s="38">
        <f>IF(OR(Ampacity!P$5=2,Ampacity!P$5="2"),66360,0)</f>
        <v>0</v>
      </c>
      <c r="AL12" s="38">
        <f>IF(OR(Ampacity!Q$5=2,Ampacity!Q$5="2"),66360,0)</f>
        <v>0</v>
      </c>
      <c r="AM12" s="38">
        <f>IF(OR(Ampacity!R$5=2,Ampacity!R$5="2"),66360,0)</f>
        <v>0</v>
      </c>
      <c r="AN12" s="38">
        <f>IF(OR(Ampacity!S$5=2,Ampacity!S$5="2"),66360,0)</f>
        <v>0</v>
      </c>
      <c r="AO12" s="38">
        <f>IF(OR(Ampacity!T$5=2,Ampacity!T$5="2"),66360,0)</f>
        <v>0</v>
      </c>
      <c r="AP12" s="40">
        <f>IF(OR(Ampacity!U$5=2,Ampacity!U$5="2"),66360,0)</f>
        <v>0</v>
      </c>
      <c r="AR12" s="34">
        <f>IF(OR(Ampacity!N28=2,Ampacity!N28="2"),66360,0)</f>
        <v>0</v>
      </c>
      <c r="AS12" s="38"/>
      <c r="AT12" s="38"/>
      <c r="AU12" s="38"/>
      <c r="AV12" s="38"/>
      <c r="AW12" s="38"/>
      <c r="AX12" s="38"/>
      <c r="AY12" s="40"/>
    </row>
    <row r="13" spans="1:51">
      <c r="A13" s="34">
        <f>IF(OR(Ampacity!E$5=1,Ampacity!E$5="1"),83690,0)</f>
        <v>0</v>
      </c>
      <c r="B13" s="38">
        <f>IF(OR(Ampacity!F$5=1,Ampacity!F$5="1"),83690,0)</f>
        <v>0</v>
      </c>
      <c r="C13" s="38">
        <f>IF(OR(Ampacity!G$5=1,Ampacity!G$5="1"),83690,0)</f>
        <v>0</v>
      </c>
      <c r="D13" s="38">
        <f>IF(OR(Ampacity!H$5=1,Ampacity!H$5="1"),83690,0)</f>
        <v>0</v>
      </c>
      <c r="E13" s="38">
        <f>IF(OR(Ampacity!I$5=1,Ampacity!I$5="1"),83690,0)</f>
        <v>0</v>
      </c>
      <c r="F13" s="38">
        <f>IF(OR(Ampacity!J$5=1,Ampacity!J$5="1"),83690,0)</f>
        <v>0</v>
      </c>
      <c r="G13" s="38">
        <f>IF(OR(Ampacity!K$5=1,Ampacity!K$5="1"),83690,0)</f>
        <v>0</v>
      </c>
      <c r="H13" s="38">
        <f>IF(OR(Ampacity!L$5=1,Ampacity!L$5="1"),83690,0)</f>
        <v>0</v>
      </c>
      <c r="I13" s="34">
        <f>IF(OR(Ampacity!E$9=1,Ampacity!E$9="1"),83690,0)</f>
        <v>0</v>
      </c>
      <c r="J13" s="38">
        <f>IF(OR(Ampacity!F$9=1,Ampacity!F$9="1"),83690,0)</f>
        <v>0</v>
      </c>
      <c r="K13" s="38">
        <f>IF(OR(Ampacity!G$9=1,Ampacity!G$9="1"),83690,0)</f>
        <v>0</v>
      </c>
      <c r="L13" s="38">
        <f>IF(OR(Ampacity!H$9=1,Ampacity!H$9="1"),83690,0)</f>
        <v>0</v>
      </c>
      <c r="M13" s="38">
        <f>IF(OR(Ampacity!I$9=1,Ampacity!I$9="1"),83690,0)</f>
        <v>0</v>
      </c>
      <c r="N13" s="38">
        <f>IF(OR(Ampacity!J$9=1,Ampacity!J$9="1"),83690,0)</f>
        <v>0</v>
      </c>
      <c r="O13" s="38">
        <f>IF(OR(Ampacity!K$9=1,Ampacity!K$9="1"),83690,0)</f>
        <v>0</v>
      </c>
      <c r="P13" s="40">
        <f>IF(OR(Ampacity!L$9=1,Ampacity!L$9="1"),83690,0)</f>
        <v>0</v>
      </c>
      <c r="R13" s="34">
        <f>IF(OR(Ampacity!E$28=1,Ampacity!E$28="1"),83690,0)</f>
        <v>0</v>
      </c>
      <c r="S13" s="38">
        <f>IF(OR(Ampacity!F$28=1,Ampacity!F$28="1"),83690,0)</f>
        <v>0</v>
      </c>
      <c r="T13" s="38">
        <f>IF(OR(Ampacity!G$28=1,Ampacity!G$28="1"),83690,0)</f>
        <v>0</v>
      </c>
      <c r="U13" s="38">
        <f>IF(OR(Ampacity!H$28=1,Ampacity!H$28="1"),83690,0)</f>
        <v>0</v>
      </c>
      <c r="V13" s="38">
        <f>IF(OR(Ampacity!I$28=1,Ampacity!I$28="1"),83690,0)</f>
        <v>0</v>
      </c>
      <c r="W13" s="38">
        <f>IF(OR(Ampacity!J$28=1,Ampacity!J$28="1"),83690,0)</f>
        <v>0</v>
      </c>
      <c r="X13" s="38">
        <f>IF(OR(Ampacity!K$28=1,Ampacity!K$28="1"),83690,0)</f>
        <v>0</v>
      </c>
      <c r="Y13" s="38">
        <f>IF(OR(Ampacity!L$28=1,Ampacity!L$28="1"),83690,0)</f>
        <v>0</v>
      </c>
      <c r="Z13" s="34">
        <f>IF(OR(Ampacity!E$32=1,Ampacity!E$32="1"),83690,0)</f>
        <v>0</v>
      </c>
      <c r="AA13" s="38">
        <f>IF(OR(Ampacity!F$32=1,Ampacity!F$32="1"),83690,0)</f>
        <v>0</v>
      </c>
      <c r="AB13" s="38">
        <f>IF(OR(Ampacity!G$32=1,Ampacity!G$32="1"),83690,0)</f>
        <v>0</v>
      </c>
      <c r="AC13" s="38">
        <f>IF(OR(Ampacity!H$32=1,Ampacity!H$32="1"),83690,0)</f>
        <v>0</v>
      </c>
      <c r="AD13" s="38">
        <f>IF(OR(Ampacity!I$32=1,Ampacity!I$32="1"),83690,0)</f>
        <v>0</v>
      </c>
      <c r="AE13" s="38">
        <f>IF(OR(Ampacity!J$32=1,Ampacity!J$32="1"),83690,0)</f>
        <v>0</v>
      </c>
      <c r="AF13" s="38">
        <f>IF(OR(Ampacity!K$32=1,Ampacity!K$32="1"),83690,0)</f>
        <v>0</v>
      </c>
      <c r="AG13" s="40">
        <f>IF(OR(Ampacity!L$32=1,Ampacity!L$32="1"),83690,0)</f>
        <v>0</v>
      </c>
      <c r="AI13" s="34">
        <f>IF(OR(Ampacity!N$5=1,Ampacity!N$5="1"),83690,0)</f>
        <v>0</v>
      </c>
      <c r="AJ13" s="38">
        <f>IF(OR(Ampacity!O$5=1,Ampacity!O$5="1"),83690,0)</f>
        <v>0</v>
      </c>
      <c r="AK13" s="38">
        <f>IF(OR(Ampacity!P$5=1,Ampacity!P$5="1"),83690,0)</f>
        <v>0</v>
      </c>
      <c r="AL13" s="38">
        <f>IF(OR(Ampacity!Q$5=1,Ampacity!Q$5="1"),83690,0)</f>
        <v>0</v>
      </c>
      <c r="AM13" s="38">
        <f>IF(OR(Ampacity!R$5=1,Ampacity!R$5="1"),83690,0)</f>
        <v>0</v>
      </c>
      <c r="AN13" s="38">
        <f>IF(OR(Ampacity!S$5=1,Ampacity!S$5="1"),83690,0)</f>
        <v>0</v>
      </c>
      <c r="AO13" s="38">
        <f>IF(OR(Ampacity!T$5=1,Ampacity!T$5="1"),83690,0)</f>
        <v>0</v>
      </c>
      <c r="AP13" s="40">
        <f>IF(OR(Ampacity!U$5=1,Ampacity!U$5="1"),83690,0)</f>
        <v>0</v>
      </c>
      <c r="AR13" s="34">
        <f>IF(OR(Ampacity!N28=1,Ampacity!N28="1"),83690,0)</f>
        <v>0</v>
      </c>
      <c r="AS13" s="38"/>
      <c r="AT13" s="38"/>
      <c r="AU13" s="38"/>
      <c r="AV13" s="38"/>
      <c r="AW13" s="38"/>
      <c r="AX13" s="38"/>
      <c r="AY13" s="40"/>
    </row>
    <row r="14" spans="1:51">
      <c r="A14" s="34">
        <f>IF(Ampacity!E$5="1/0",105600,0)</f>
        <v>0</v>
      </c>
      <c r="B14" s="38">
        <f>IF(Ampacity!F$5="1/0",105600,0)</f>
        <v>0</v>
      </c>
      <c r="C14" s="38">
        <f>IF(Ampacity!G$5="1/0",105600,0)</f>
        <v>0</v>
      </c>
      <c r="D14" s="38">
        <f>IF(Ampacity!H$5="1/0",105600,0)</f>
        <v>0</v>
      </c>
      <c r="E14" s="38">
        <f>IF(Ampacity!I$5="1/0",105600,0)</f>
        <v>0</v>
      </c>
      <c r="F14" s="38">
        <f>IF(Ampacity!J$5="1/0",105600,0)</f>
        <v>0</v>
      </c>
      <c r="G14" s="38">
        <f>IF(Ampacity!K$5="1/0",105600,0)</f>
        <v>0</v>
      </c>
      <c r="H14" s="38">
        <f>IF(Ampacity!L$5="1/0",105600,0)</f>
        <v>105600</v>
      </c>
      <c r="I14" s="34">
        <f>IF(Ampacity!E9="1/0",105600,0)</f>
        <v>0</v>
      </c>
      <c r="J14" s="38">
        <f>IF(Ampacity!F9="1/0",105600,0)</f>
        <v>0</v>
      </c>
      <c r="K14" s="38">
        <f>IF(Ampacity!G9="1/0",105600,0)</f>
        <v>0</v>
      </c>
      <c r="L14" s="38">
        <f>IF(Ampacity!H9="1/0",105600,0)</f>
        <v>0</v>
      </c>
      <c r="M14" s="38">
        <f>IF(Ampacity!I9="1/0",105600,0)</f>
        <v>0</v>
      </c>
      <c r="N14" s="38">
        <f>IF(Ampacity!J9="1/0",105600,0)</f>
        <v>0</v>
      </c>
      <c r="O14" s="38">
        <f>IF(Ampacity!K9="1/0",105600,0)</f>
        <v>0</v>
      </c>
      <c r="P14" s="40">
        <f>IF(Ampacity!L9="1/0",105600,0)</f>
        <v>105600</v>
      </c>
      <c r="R14" s="34">
        <f>IF(Ampacity!E28="1/0",105600,0)</f>
        <v>0</v>
      </c>
      <c r="S14" s="38">
        <f>IF(Ampacity!F28="1/0",105600,0)</f>
        <v>0</v>
      </c>
      <c r="T14" s="38">
        <f>IF(Ampacity!G28="1/0",105600,0)</f>
        <v>0</v>
      </c>
      <c r="U14" s="38">
        <f>IF(Ampacity!H28="1/0",105600,0)</f>
        <v>0</v>
      </c>
      <c r="V14" s="38">
        <f>IF(Ampacity!I28="1/0",105600,0)</f>
        <v>0</v>
      </c>
      <c r="W14" s="38">
        <f>IF(Ampacity!J28="1/0",105600,0)</f>
        <v>0</v>
      </c>
      <c r="X14" s="38">
        <f>IF(Ampacity!K28="1/0",105600,0)</f>
        <v>0</v>
      </c>
      <c r="Y14" s="38">
        <f>IF(Ampacity!L28="1/0",105600,0)</f>
        <v>0</v>
      </c>
      <c r="Z14" s="34">
        <f>IF(Ampacity!E32="1/0",105600,0)</f>
        <v>0</v>
      </c>
      <c r="AA14" s="38">
        <f>IF(Ampacity!F32="1/0",105600,0)</f>
        <v>0</v>
      </c>
      <c r="AB14" s="38">
        <f>IF(Ampacity!G32="1/0",105600,0)</f>
        <v>0</v>
      </c>
      <c r="AC14" s="38">
        <f>IF(Ampacity!H32="1/0",105600,0)</f>
        <v>0</v>
      </c>
      <c r="AD14" s="38">
        <f>IF(Ampacity!I32="1/0",105600,0)</f>
        <v>0</v>
      </c>
      <c r="AE14" s="38">
        <f>IF(Ampacity!J32="1/0",105600,0)</f>
        <v>0</v>
      </c>
      <c r="AF14" s="38">
        <f>IF(Ampacity!K32="1/0",105600,0)</f>
        <v>0</v>
      </c>
      <c r="AG14" s="40">
        <f>IF(Ampacity!L32="1/0",105600,0)</f>
        <v>0</v>
      </c>
      <c r="AI14" s="34">
        <f>IF(Ampacity!N5="1/0",105600,0)</f>
        <v>0</v>
      </c>
      <c r="AJ14" s="38">
        <f>IF(Ampacity!O5="1/0",105600,0)</f>
        <v>0</v>
      </c>
      <c r="AK14" s="38">
        <f>IF(Ampacity!P5="1/0",105600,0)</f>
        <v>0</v>
      </c>
      <c r="AL14" s="38">
        <f>IF(Ampacity!Q5="1/0",105600,0)</f>
        <v>0</v>
      </c>
      <c r="AM14" s="38">
        <f>IF(Ampacity!R5="1/0",105600,0)</f>
        <v>0</v>
      </c>
      <c r="AN14" s="38">
        <f>IF(Ampacity!S5="1/0",105600,0)</f>
        <v>0</v>
      </c>
      <c r="AO14" s="38">
        <f>IF(Ampacity!T5="1/0",105600,0)</f>
        <v>0</v>
      </c>
      <c r="AP14" s="40">
        <f>IF(Ampacity!U5="1/0",105600,0)</f>
        <v>105600</v>
      </c>
      <c r="AR14" s="34">
        <f>IF(Ampacity!N28="1/0",105600,0)</f>
        <v>0</v>
      </c>
      <c r="AS14" s="38">
        <f>IF(Ampacity!O28="1/0",105600,0)</f>
        <v>0</v>
      </c>
      <c r="AT14" s="38">
        <f>IF(Ampacity!P28="1/0",105600,0)</f>
        <v>0</v>
      </c>
      <c r="AU14" s="38">
        <f>IF(Ampacity!Q28="1/0",105600,0)</f>
        <v>0</v>
      </c>
      <c r="AV14" s="38">
        <f>IF(Ampacity!R28="1/0",105600,0)</f>
        <v>0</v>
      </c>
      <c r="AW14" s="38">
        <f>IF(Ampacity!S28="1/0",105600,0)</f>
        <v>0</v>
      </c>
      <c r="AX14" s="38">
        <f>IF(Ampacity!T28="1/0",105600,0)</f>
        <v>0</v>
      </c>
      <c r="AY14" s="40">
        <f>IF(Ampacity!U28="1/0",105600,0)</f>
        <v>0</v>
      </c>
    </row>
    <row r="15" spans="1:51">
      <c r="A15" s="34">
        <f>IF(Ampacity!E$5="2/0",133100,0)</f>
        <v>0</v>
      </c>
      <c r="B15" s="38">
        <f>IF(Ampacity!F$5="2/0",133100,0)</f>
        <v>0</v>
      </c>
      <c r="C15" s="38">
        <f>IF(Ampacity!G$5="2/0",133100,0)</f>
        <v>0</v>
      </c>
      <c r="D15" s="38">
        <f>IF(Ampacity!H$5="2/0",133100,0)</f>
        <v>0</v>
      </c>
      <c r="E15" s="38">
        <f>IF(Ampacity!I$5="2/0",133100,0)</f>
        <v>0</v>
      </c>
      <c r="F15" s="38">
        <f>IF(Ampacity!J$5="2/0",133100,0)</f>
        <v>0</v>
      </c>
      <c r="G15" s="38">
        <f>IF(Ampacity!K$5="2/0",133100,0)</f>
        <v>133100</v>
      </c>
      <c r="H15" s="38">
        <f>IF(Ampacity!L$5="2/0",133100,0)</f>
        <v>0</v>
      </c>
      <c r="I15" s="34">
        <f>IF(Ampacity!E9="2/0",133100,0)</f>
        <v>0</v>
      </c>
      <c r="J15" s="38">
        <f>IF(Ampacity!F9="2/0",133100,0)</f>
        <v>0</v>
      </c>
      <c r="K15" s="38">
        <f>IF(Ampacity!G9="2/0",133100,0)</f>
        <v>0</v>
      </c>
      <c r="L15" s="38">
        <f>IF(Ampacity!H9="2/0",133100,0)</f>
        <v>0</v>
      </c>
      <c r="M15" s="38">
        <f>IF(Ampacity!I9="2/0",133100,0)</f>
        <v>0</v>
      </c>
      <c r="N15" s="38">
        <f>IF(Ampacity!J9="2/0",133100,0)</f>
        <v>0</v>
      </c>
      <c r="O15" s="38">
        <f>IF(Ampacity!K9="2/0",133100,0)</f>
        <v>133100</v>
      </c>
      <c r="P15" s="40">
        <f>IF(Ampacity!L9="2/0",133100,0)</f>
        <v>0</v>
      </c>
      <c r="R15" s="34">
        <f>IF(Ampacity!E28="2/0",133100,0)</f>
        <v>0</v>
      </c>
      <c r="S15" s="38">
        <f>IF(Ampacity!F28="2/0",133100,0)</f>
        <v>0</v>
      </c>
      <c r="T15" s="38">
        <f>IF(Ampacity!G28="2/0",133100,0)</f>
        <v>0</v>
      </c>
      <c r="U15" s="38">
        <f>IF(Ampacity!H28="2/0",133100,0)</f>
        <v>0</v>
      </c>
      <c r="V15" s="38">
        <f>IF(Ampacity!I28="2/0",133100,0)</f>
        <v>0</v>
      </c>
      <c r="W15" s="38">
        <f>IF(Ampacity!J28="2/0",133100,0)</f>
        <v>0</v>
      </c>
      <c r="X15" s="38">
        <f>IF(Ampacity!K28="2/0",133100,0)</f>
        <v>0</v>
      </c>
      <c r="Y15" s="38">
        <f>IF(Ampacity!L28="2/0",133100,0)</f>
        <v>0</v>
      </c>
      <c r="Z15" s="34">
        <f>IF(Ampacity!E32="2/0",133100,0)</f>
        <v>0</v>
      </c>
      <c r="AA15" s="38">
        <f>IF(Ampacity!F32="2/0",133100,0)</f>
        <v>0</v>
      </c>
      <c r="AB15" s="38">
        <f>IF(Ampacity!G32="2/0",133100,0)</f>
        <v>0</v>
      </c>
      <c r="AC15" s="38">
        <f>IF(Ampacity!H32="2/0",133100,0)</f>
        <v>0</v>
      </c>
      <c r="AD15" s="38">
        <f>IF(Ampacity!I32="2/0",133100,0)</f>
        <v>0</v>
      </c>
      <c r="AE15" s="38">
        <f>IF(Ampacity!J32="2/0",133100,0)</f>
        <v>0</v>
      </c>
      <c r="AF15" s="38">
        <f>IF(Ampacity!K32="2/0",133100,0)</f>
        <v>0</v>
      </c>
      <c r="AG15" s="40">
        <f>IF(Ampacity!L32="2/0",133100,0)</f>
        <v>133100</v>
      </c>
      <c r="AI15" s="34">
        <f>IF(Ampacity!N5="2/0",133100,0)</f>
        <v>0</v>
      </c>
      <c r="AJ15" s="38">
        <f>IF(Ampacity!O5="2/0",133100,0)</f>
        <v>0</v>
      </c>
      <c r="AK15" s="38">
        <f>IF(Ampacity!P5="2/0",133100,0)</f>
        <v>0</v>
      </c>
      <c r="AL15" s="38">
        <f>IF(Ampacity!Q5="2/0",133100,0)</f>
        <v>0</v>
      </c>
      <c r="AM15" s="38">
        <f>IF(Ampacity!R5="2/0",133100,0)</f>
        <v>0</v>
      </c>
      <c r="AN15" s="38">
        <f>IF(Ampacity!S5="2/0",133100,0)</f>
        <v>0</v>
      </c>
      <c r="AO15" s="38">
        <f>IF(Ampacity!T5="2/0",133100,0)</f>
        <v>133100</v>
      </c>
      <c r="AP15" s="40">
        <f>IF(Ampacity!U5="2/0",133100,0)</f>
        <v>0</v>
      </c>
      <c r="AR15" s="34">
        <f>IF(Ampacity!N28="2/0",133100,0)</f>
        <v>0</v>
      </c>
      <c r="AS15" s="38">
        <f>IF(Ampacity!O28="2/0",133100,0)</f>
        <v>0</v>
      </c>
      <c r="AT15" s="38">
        <f>IF(Ampacity!P28="2/0",133100,0)</f>
        <v>0</v>
      </c>
      <c r="AU15" s="38">
        <f>IF(Ampacity!Q28="2/0",133100,0)</f>
        <v>0</v>
      </c>
      <c r="AV15" s="38">
        <f>IF(Ampacity!R28="2/0",133100,0)</f>
        <v>0</v>
      </c>
      <c r="AW15" s="38">
        <f>IF(Ampacity!S28="2/0",133100,0)</f>
        <v>0</v>
      </c>
      <c r="AX15" s="38">
        <f>IF(Ampacity!T28="2/0",133100,0)</f>
        <v>0</v>
      </c>
      <c r="AY15" s="40">
        <f>IF(Ampacity!U28="2/0",133100,0)</f>
        <v>0</v>
      </c>
    </row>
    <row r="16" spans="1:51">
      <c r="A16" s="34">
        <f>IF(Ampacity!E$5="3/0",167800,0)</f>
        <v>0</v>
      </c>
      <c r="B16" s="38">
        <f>IF(Ampacity!F$5="3/0",167800,0)</f>
        <v>0</v>
      </c>
      <c r="C16" s="38">
        <f>IF(Ampacity!G$5="3/0",167800,0)</f>
        <v>0</v>
      </c>
      <c r="D16" s="38">
        <f>IF(Ampacity!H$5="3/0",167800,0)</f>
        <v>0</v>
      </c>
      <c r="E16" s="38">
        <f>IF(Ampacity!I$5="3/0",167800,0)</f>
        <v>0</v>
      </c>
      <c r="F16" s="38">
        <f>IF(Ampacity!J$5="3/0",167800,0)</f>
        <v>167800</v>
      </c>
      <c r="G16" s="38">
        <f>IF(Ampacity!K$5="3/0",167800,0)</f>
        <v>0</v>
      </c>
      <c r="H16" s="38">
        <f>IF(Ampacity!L$5="3/0",167800,0)</f>
        <v>0</v>
      </c>
      <c r="I16" s="34">
        <f>IF(Ampacity!E9="3/0",167800,0)</f>
        <v>0</v>
      </c>
      <c r="J16" s="38">
        <f>IF(Ampacity!F9="3/0",167800,0)</f>
        <v>0</v>
      </c>
      <c r="K16" s="38">
        <f>IF(Ampacity!G9="3/0",167800,0)</f>
        <v>0</v>
      </c>
      <c r="L16" s="38">
        <f>IF(Ampacity!H9="3/0",167800,0)</f>
        <v>0</v>
      </c>
      <c r="M16" s="38">
        <f>IF(Ampacity!I9="3/0",167800,0)</f>
        <v>0</v>
      </c>
      <c r="N16" s="38">
        <f>IF(Ampacity!J9="3/0",167800,0)</f>
        <v>167800</v>
      </c>
      <c r="O16" s="38">
        <f>IF(Ampacity!K9="3/0",167800,0)</f>
        <v>0</v>
      </c>
      <c r="P16" s="40">
        <f>IF(Ampacity!L9="3/0",167800,0)</f>
        <v>0</v>
      </c>
      <c r="R16" s="34">
        <f>IF(Ampacity!E28="3/0",167800,0)</f>
        <v>0</v>
      </c>
      <c r="S16" s="38">
        <f>IF(Ampacity!F28="3/0",167800,0)</f>
        <v>0</v>
      </c>
      <c r="T16" s="38">
        <f>IF(Ampacity!G28="3/0",167800,0)</f>
        <v>0</v>
      </c>
      <c r="U16" s="38">
        <f>IF(Ampacity!H28="3/0",167800,0)</f>
        <v>0</v>
      </c>
      <c r="V16" s="38">
        <f>IF(Ampacity!I28="3/0",167800,0)</f>
        <v>0</v>
      </c>
      <c r="W16" s="38">
        <f>IF(Ampacity!J28="3/0",167800,0)</f>
        <v>0</v>
      </c>
      <c r="X16" s="38">
        <f>IF(Ampacity!K28="3/0",167800,0)</f>
        <v>0</v>
      </c>
      <c r="Y16" s="38">
        <f>IF(Ampacity!L28="3/0",167800,0)</f>
        <v>167800</v>
      </c>
      <c r="Z16" s="34">
        <f>IF(Ampacity!E32="3/0",167800,0)</f>
        <v>0</v>
      </c>
      <c r="AA16" s="38">
        <f>IF(Ampacity!F32="3/0",167800,0)</f>
        <v>0</v>
      </c>
      <c r="AB16" s="38">
        <f>IF(Ampacity!G32="3/0",167800,0)</f>
        <v>0</v>
      </c>
      <c r="AC16" s="38">
        <f>IF(Ampacity!H32="3/0",167800,0)</f>
        <v>0</v>
      </c>
      <c r="AD16" s="38">
        <f>IF(Ampacity!I32="3/0",167800,0)</f>
        <v>0</v>
      </c>
      <c r="AE16" s="38">
        <f>IF(Ampacity!J32="3/0",167800,0)</f>
        <v>0</v>
      </c>
      <c r="AF16" s="38">
        <f>IF(Ampacity!K32="3/0",167800,0)</f>
        <v>167800</v>
      </c>
      <c r="AG16" s="40">
        <f>IF(Ampacity!L32="3/0",167800,0)</f>
        <v>0</v>
      </c>
      <c r="AI16" s="34">
        <f>IF(Ampacity!N5="3/0",167800,0)</f>
        <v>0</v>
      </c>
      <c r="AJ16" s="38">
        <f>IF(Ampacity!O5="3/0",167800,0)</f>
        <v>0</v>
      </c>
      <c r="AK16" s="38">
        <f>IF(Ampacity!P5="3/0",167800,0)</f>
        <v>0</v>
      </c>
      <c r="AL16" s="38">
        <f>IF(Ampacity!Q5="3/0",167800,0)</f>
        <v>0</v>
      </c>
      <c r="AM16" s="38">
        <f>IF(Ampacity!R5="3/0",167800,0)</f>
        <v>0</v>
      </c>
      <c r="AN16" s="38">
        <f>IF(Ampacity!S5="3/0",167800,0)</f>
        <v>167800</v>
      </c>
      <c r="AO16" s="38">
        <f>IF(Ampacity!T5="3/0",167800,0)</f>
        <v>0</v>
      </c>
      <c r="AP16" s="40">
        <f>IF(Ampacity!U5="3/0",167800,0)</f>
        <v>0</v>
      </c>
      <c r="AR16" s="34">
        <f>IF(Ampacity!N28="3/0",167800,0)</f>
        <v>0</v>
      </c>
      <c r="AS16" s="38">
        <f>IF(Ampacity!O28="3/0",167800,0)</f>
        <v>0</v>
      </c>
      <c r="AT16" s="38">
        <f>IF(Ampacity!P28="3/0",167800,0)</f>
        <v>0</v>
      </c>
      <c r="AU16" s="38">
        <f>IF(Ampacity!Q28="3/0",167800,0)</f>
        <v>0</v>
      </c>
      <c r="AV16" s="38">
        <f>IF(Ampacity!R28="3/0",167800,0)</f>
        <v>0</v>
      </c>
      <c r="AW16" s="38">
        <f>IF(Ampacity!S28="3/0",167800,0)</f>
        <v>0</v>
      </c>
      <c r="AX16" s="38">
        <f>IF(Ampacity!T28="3/0",167800,0)</f>
        <v>0</v>
      </c>
      <c r="AY16" s="40">
        <f>IF(Ampacity!U28="3/0",167800,0)</f>
        <v>0</v>
      </c>
    </row>
    <row r="17" spans="1:51">
      <c r="A17" s="34">
        <f>IF(Ampacity!E$5="4/0",211600,0)</f>
        <v>0</v>
      </c>
      <c r="B17" s="38">
        <f>IF(Ampacity!F$5="4/0",211600,0)</f>
        <v>0</v>
      </c>
      <c r="C17" s="38">
        <f>IF(Ampacity!G$5="4/0",211600,0)</f>
        <v>0</v>
      </c>
      <c r="D17" s="38">
        <f>IF(Ampacity!H$5="4/0",211600,0)</f>
        <v>0</v>
      </c>
      <c r="E17" s="38">
        <f>IF(Ampacity!I$5="4/0",211600,0)</f>
        <v>0</v>
      </c>
      <c r="F17" s="38">
        <f>IF(Ampacity!J$5="4/0",211600,0)</f>
        <v>0</v>
      </c>
      <c r="G17" s="38">
        <f>IF(Ampacity!K$5="4/0",211600,0)</f>
        <v>0</v>
      </c>
      <c r="H17" s="38">
        <f>IF(Ampacity!L$5="4/0",211600,0)</f>
        <v>0</v>
      </c>
      <c r="I17" s="34">
        <f>IF(Ampacity!E9="4/0",211600,0)</f>
        <v>0</v>
      </c>
      <c r="J17" s="38">
        <f>IF(Ampacity!F9="4/0",211600,0)</f>
        <v>0</v>
      </c>
      <c r="K17" s="38">
        <f>IF(Ampacity!G9="4/0",211600,0)</f>
        <v>0</v>
      </c>
      <c r="L17" s="38">
        <f>IF(Ampacity!H9="4/0",211600,0)</f>
        <v>0</v>
      </c>
      <c r="M17" s="38">
        <f>IF(Ampacity!I9="4/0",211600,0)</f>
        <v>211600</v>
      </c>
      <c r="N17" s="38">
        <f>IF(Ampacity!J9="4/0",211600,0)</f>
        <v>0</v>
      </c>
      <c r="O17" s="38">
        <f>IF(Ampacity!K9="4/0",211600,0)</f>
        <v>0</v>
      </c>
      <c r="P17" s="40">
        <f>IF(Ampacity!L9="4/0",211600,0)</f>
        <v>0</v>
      </c>
      <c r="R17" s="34">
        <f>IF(Ampacity!E28="4/0",211600,0)</f>
        <v>0</v>
      </c>
      <c r="S17" s="38">
        <f>IF(Ampacity!F28="4/0",211600,0)</f>
        <v>0</v>
      </c>
      <c r="T17" s="38">
        <f>IF(Ampacity!G28="4/0",211600,0)</f>
        <v>0</v>
      </c>
      <c r="U17" s="38">
        <f>IF(Ampacity!H28="4/0",211600,0)</f>
        <v>0</v>
      </c>
      <c r="V17" s="38">
        <f>IF(Ampacity!I28="4/0",211600,0)</f>
        <v>0</v>
      </c>
      <c r="W17" s="38">
        <f>IF(Ampacity!J28="4/0",211600,0)</f>
        <v>0</v>
      </c>
      <c r="X17" s="38">
        <f>IF(Ampacity!K28="4/0",211600,0)</f>
        <v>211600</v>
      </c>
      <c r="Y17" s="38">
        <f>IF(Ampacity!L28="4/0",211600,0)</f>
        <v>0</v>
      </c>
      <c r="Z17" s="34">
        <f>IF(Ampacity!E32="4/0",211600,0)</f>
        <v>0</v>
      </c>
      <c r="AA17" s="38">
        <f>IF(Ampacity!F32="4/0",211600,0)</f>
        <v>0</v>
      </c>
      <c r="AB17" s="38">
        <f>IF(Ampacity!G32="4/0",211600,0)</f>
        <v>0</v>
      </c>
      <c r="AC17" s="38">
        <f>IF(Ampacity!H32="4/0",211600,0)</f>
        <v>0</v>
      </c>
      <c r="AD17" s="38">
        <f>IF(Ampacity!I32="4/0",211600,0)</f>
        <v>0</v>
      </c>
      <c r="AE17" s="38">
        <f>IF(Ampacity!J32="4/0",211600,0)</f>
        <v>211600</v>
      </c>
      <c r="AF17" s="38">
        <f>IF(Ampacity!K32="4/0",211600,0)</f>
        <v>0</v>
      </c>
      <c r="AG17" s="40">
        <f>IF(Ampacity!L32="4/0",211600,0)</f>
        <v>0</v>
      </c>
      <c r="AI17" s="34">
        <f>IF(Ampacity!N5="4/0",211600,0)</f>
        <v>0</v>
      </c>
      <c r="AJ17" s="38">
        <f>IF(Ampacity!O5="4/0",211600,0)</f>
        <v>0</v>
      </c>
      <c r="AK17" s="38">
        <f>IF(Ampacity!P5="4/0",211600,0)</f>
        <v>0</v>
      </c>
      <c r="AL17" s="38">
        <f>IF(Ampacity!Q5="4/0",211600,0)</f>
        <v>0</v>
      </c>
      <c r="AM17" s="38">
        <f>IF(Ampacity!R5="4/0",211600,0)</f>
        <v>0</v>
      </c>
      <c r="AN17" s="38">
        <f>IF(Ampacity!S5="4/0",211600,0)</f>
        <v>0</v>
      </c>
      <c r="AO17" s="38">
        <f>IF(Ampacity!T5="4/0",211600,0)</f>
        <v>0</v>
      </c>
      <c r="AP17" s="40">
        <f>IF(Ampacity!U5="4/0",211600,0)</f>
        <v>0</v>
      </c>
      <c r="AR17" s="34">
        <f>IF(Ampacity!N28="4/0",211600,0)</f>
        <v>0</v>
      </c>
      <c r="AS17" s="38">
        <f>IF(Ampacity!O28="4/0",211600,0)</f>
        <v>0</v>
      </c>
      <c r="AT17" s="38">
        <f>IF(Ampacity!P28="4/0",211600,0)</f>
        <v>0</v>
      </c>
      <c r="AU17" s="38">
        <f>IF(Ampacity!Q28="4/0",211600,0)</f>
        <v>0</v>
      </c>
      <c r="AV17" s="38">
        <f>IF(Ampacity!R28="4/0",211600,0)</f>
        <v>0</v>
      </c>
      <c r="AW17" s="38">
        <f>IF(Ampacity!S28="4/0",211600,0)</f>
        <v>0</v>
      </c>
      <c r="AX17" s="38">
        <f>IF(Ampacity!T28="4/0",211600,0)</f>
        <v>0</v>
      </c>
      <c r="AY17" s="40">
        <f>IF(Ampacity!U28="4/0",211600,0)</f>
        <v>211600</v>
      </c>
    </row>
    <row r="18" spans="1:51">
      <c r="A18" s="34">
        <f>IF(Ampacity!E$5="250",250000,0)</f>
        <v>0</v>
      </c>
      <c r="B18" s="38">
        <f>IF(Ampacity!F$5="250",250000,0)</f>
        <v>0</v>
      </c>
      <c r="C18" s="38">
        <f>IF(Ampacity!G$5="250",250000,0)</f>
        <v>0</v>
      </c>
      <c r="D18" s="38">
        <f>IF(Ampacity!H$5="250",250000,0)</f>
        <v>0</v>
      </c>
      <c r="E18" s="38">
        <f>IF(Ampacity!I$5="250",250000,0)</f>
        <v>250000</v>
      </c>
      <c r="F18" s="38">
        <f>IF(Ampacity!J$5="250",250000,0)</f>
        <v>0</v>
      </c>
      <c r="G18" s="38">
        <f>IF(Ampacity!K$5="250",250000,0)</f>
        <v>0</v>
      </c>
      <c r="H18" s="38">
        <f>IF(Ampacity!L$5="250",250000,0)</f>
        <v>0</v>
      </c>
      <c r="I18" s="34">
        <f>IF(Ampacity!E9="250",250000,0)</f>
        <v>0</v>
      </c>
      <c r="J18" s="38">
        <f>IF(Ampacity!F9="250",250000,0)</f>
        <v>0</v>
      </c>
      <c r="K18" s="38">
        <f>IF(Ampacity!G9="250",250000,0)</f>
        <v>0</v>
      </c>
      <c r="L18" s="38">
        <f>IF(Ampacity!H9="250",250000,0)</f>
        <v>0</v>
      </c>
      <c r="M18" s="38">
        <f>IF(Ampacity!I9="250",250000,0)</f>
        <v>0</v>
      </c>
      <c r="N18" s="38">
        <f>IF(Ampacity!J9="250",250000,0)</f>
        <v>0</v>
      </c>
      <c r="O18" s="38">
        <f>IF(Ampacity!K9="250",250000,0)</f>
        <v>0</v>
      </c>
      <c r="P18" s="40">
        <f>IF(Ampacity!L9="250",250000,0)</f>
        <v>0</v>
      </c>
      <c r="R18" s="34">
        <f>IF(Ampacity!E28="250",250000,0)</f>
        <v>0</v>
      </c>
      <c r="S18" s="38">
        <f>IF(Ampacity!F28="250",250000,0)</f>
        <v>0</v>
      </c>
      <c r="T18" s="38">
        <f>IF(Ampacity!G28="250",250000,0)</f>
        <v>0</v>
      </c>
      <c r="U18" s="38">
        <f>IF(Ampacity!H28="250",250000,0)</f>
        <v>0</v>
      </c>
      <c r="V18" s="38">
        <f>IF(Ampacity!I28="250",250000,0)</f>
        <v>0</v>
      </c>
      <c r="W18" s="38">
        <f>IF(Ampacity!J28="250",250000,0)</f>
        <v>250000</v>
      </c>
      <c r="X18" s="38">
        <f>IF(Ampacity!K28="250",250000,0)</f>
        <v>0</v>
      </c>
      <c r="Y18" s="38">
        <f>IF(Ampacity!L28="250",250000,0)</f>
        <v>0</v>
      </c>
      <c r="Z18" s="34">
        <f>IF(Ampacity!E32="250",250000,0)</f>
        <v>0</v>
      </c>
      <c r="AA18" s="38">
        <f>IF(Ampacity!F32="250",250000,0)</f>
        <v>0</v>
      </c>
      <c r="AB18" s="38">
        <f>IF(Ampacity!G32="250",250000,0)</f>
        <v>0</v>
      </c>
      <c r="AC18" s="38">
        <f>IF(Ampacity!H32="250",250000,0)</f>
        <v>0</v>
      </c>
      <c r="AD18" s="38">
        <f>IF(Ampacity!I32="250",250000,0)</f>
        <v>0</v>
      </c>
      <c r="AE18" s="38">
        <f>IF(Ampacity!J32="250",250000,0)</f>
        <v>0</v>
      </c>
      <c r="AF18" s="38">
        <f>IF(Ampacity!K32="250",250000,0)</f>
        <v>0</v>
      </c>
      <c r="AG18" s="40">
        <f>IF(Ampacity!L32="250",250000,0)</f>
        <v>0</v>
      </c>
      <c r="AI18" s="34">
        <f>IF(Ampacity!N5="250",250000,0)</f>
        <v>0</v>
      </c>
      <c r="AJ18" s="38">
        <f>IF(Ampacity!O5="250",250000,0)</f>
        <v>0</v>
      </c>
      <c r="AK18" s="38">
        <f>IF(Ampacity!P5="250",250000,0)</f>
        <v>0</v>
      </c>
      <c r="AL18" s="38">
        <f>IF(Ampacity!Q5="250",250000,0)</f>
        <v>0</v>
      </c>
      <c r="AM18" s="38">
        <f>IF(Ampacity!R5="250",250000,0)</f>
        <v>250000</v>
      </c>
      <c r="AN18" s="38">
        <f>IF(Ampacity!S5="250",250000,0)</f>
        <v>0</v>
      </c>
      <c r="AO18" s="38">
        <f>IF(Ampacity!T5="250",250000,0)</f>
        <v>0</v>
      </c>
      <c r="AP18" s="40">
        <f>IF(Ampacity!U5="250",250000,0)</f>
        <v>0</v>
      </c>
      <c r="AR18" s="34">
        <f>IF(Ampacity!N28="250",250000,0)</f>
        <v>0</v>
      </c>
      <c r="AS18" s="38">
        <f>IF(Ampacity!O28="250",250000,0)</f>
        <v>250000</v>
      </c>
      <c r="AT18" s="38">
        <f>IF(Ampacity!P28="250",250000,0)</f>
        <v>0</v>
      </c>
      <c r="AU18" s="38">
        <f>IF(Ampacity!Q28="250",250000,0)</f>
        <v>0</v>
      </c>
      <c r="AV18" s="38">
        <f>IF(Ampacity!R28="250",250000,0)</f>
        <v>0</v>
      </c>
      <c r="AW18" s="38">
        <f>IF(Ampacity!S28="250",250000,0)</f>
        <v>0</v>
      </c>
      <c r="AX18" s="38">
        <f>IF(Ampacity!T28="250",250000,0)</f>
        <v>250000</v>
      </c>
      <c r="AY18" s="40">
        <f>IF(Ampacity!U28="250",250000,0)</f>
        <v>0</v>
      </c>
    </row>
    <row r="19" spans="1:51">
      <c r="A19" s="34">
        <f>IF(Ampacity!E$5="300",300000,0)</f>
        <v>0</v>
      </c>
      <c r="B19" s="38">
        <f>IF(Ampacity!F$5="300",300000,0)</f>
        <v>0</v>
      </c>
      <c r="C19" s="38">
        <f>IF(Ampacity!G$5="300",300000,0)</f>
        <v>0</v>
      </c>
      <c r="D19" s="38">
        <f>IF(Ampacity!H$5="300",300000,0)</f>
        <v>0</v>
      </c>
      <c r="E19" s="38">
        <f>IF(Ampacity!I$5="300",300000,0)</f>
        <v>0</v>
      </c>
      <c r="F19" s="38">
        <f>IF(Ampacity!J$5="300",300000,0)</f>
        <v>0</v>
      </c>
      <c r="G19" s="38">
        <f>IF(Ampacity!K$5="300",300000,0)</f>
        <v>0</v>
      </c>
      <c r="H19" s="38">
        <f>IF(Ampacity!L$5="300",300000,0)</f>
        <v>0</v>
      </c>
      <c r="I19" s="34">
        <f>IF(Ampacity!E9="300",300000,0)</f>
        <v>0</v>
      </c>
      <c r="J19" s="38">
        <f>IF(Ampacity!F9="300",300000,0)</f>
        <v>0</v>
      </c>
      <c r="K19" s="38">
        <f>IF(Ampacity!G9="300",300000,0)</f>
        <v>0</v>
      </c>
      <c r="L19" s="38">
        <f>IF(Ampacity!H9="300",300000,0)</f>
        <v>300000</v>
      </c>
      <c r="M19" s="38">
        <f>IF(Ampacity!I9="300",300000,0)</f>
        <v>0</v>
      </c>
      <c r="N19" s="38">
        <f>IF(Ampacity!J9="300",300000,0)</f>
        <v>0</v>
      </c>
      <c r="O19" s="38">
        <f>IF(Ampacity!K9="300",300000,0)</f>
        <v>0</v>
      </c>
      <c r="P19" s="40">
        <f>IF(Ampacity!L9="300",300000,0)</f>
        <v>0</v>
      </c>
      <c r="R19" s="34">
        <f>IF(Ampacity!E28="300",300000,0)</f>
        <v>0</v>
      </c>
      <c r="S19" s="38">
        <f>IF(Ampacity!F28="300",300000,0)</f>
        <v>0</v>
      </c>
      <c r="T19" s="38">
        <f>IF(Ampacity!G28="300",300000,0)</f>
        <v>0</v>
      </c>
      <c r="U19" s="38">
        <f>IF(Ampacity!H28="300",300000,0)</f>
        <v>0</v>
      </c>
      <c r="V19" s="38">
        <f>IF(Ampacity!I28="300",300000,0)</f>
        <v>0</v>
      </c>
      <c r="W19" s="38">
        <f>IF(Ampacity!J28="300",300000,0)</f>
        <v>0</v>
      </c>
      <c r="X19" s="38">
        <f>IF(Ampacity!K28="300",300000,0)</f>
        <v>0</v>
      </c>
      <c r="Y19" s="38">
        <f>IF(Ampacity!L28="300",300000,0)</f>
        <v>0</v>
      </c>
      <c r="Z19" s="34">
        <f>IF(Ampacity!E32="300",300000,0)</f>
        <v>0</v>
      </c>
      <c r="AA19" s="38">
        <f>IF(Ampacity!F32="300",300000,0)</f>
        <v>0</v>
      </c>
      <c r="AB19" s="38">
        <f>IF(Ampacity!G32="300",300000,0)</f>
        <v>0</v>
      </c>
      <c r="AC19" s="38">
        <f>IF(Ampacity!H32="300",300000,0)</f>
        <v>0</v>
      </c>
      <c r="AD19" s="38">
        <f>IF(Ampacity!I32="300",300000,0)</f>
        <v>300000</v>
      </c>
      <c r="AE19" s="38">
        <f>IF(Ampacity!J32="300",300000,0)</f>
        <v>0</v>
      </c>
      <c r="AF19" s="38">
        <f>IF(Ampacity!K32="300",300000,0)</f>
        <v>0</v>
      </c>
      <c r="AG19" s="40">
        <f>IF(Ampacity!L32="300",300000,0)</f>
        <v>0</v>
      </c>
      <c r="AI19" s="34">
        <f>IF(Ampacity!N5="300",300000,0)</f>
        <v>0</v>
      </c>
      <c r="AJ19" s="38">
        <f>IF(Ampacity!O5="300",300000,0)</f>
        <v>0</v>
      </c>
      <c r="AK19" s="38">
        <f>IF(Ampacity!P5="300",300000,0)</f>
        <v>0</v>
      </c>
      <c r="AL19" s="38">
        <f>IF(Ampacity!Q5="300",300000,0)</f>
        <v>0</v>
      </c>
      <c r="AM19" s="38">
        <f>IF(Ampacity!R5="300",300000,0)</f>
        <v>0</v>
      </c>
      <c r="AN19" s="38">
        <f>IF(Ampacity!S5="300",300000,0)</f>
        <v>0</v>
      </c>
      <c r="AO19" s="38">
        <f>IF(Ampacity!T5="300",300000,0)</f>
        <v>0</v>
      </c>
      <c r="AP19" s="40">
        <f>IF(Ampacity!U5="300",300000,0)</f>
        <v>0</v>
      </c>
      <c r="AR19" s="34">
        <f>IF(Ampacity!N28="300",300000,0)</f>
        <v>0</v>
      </c>
      <c r="AS19" s="38">
        <f>IF(Ampacity!O28="300",300000,0)</f>
        <v>0</v>
      </c>
      <c r="AT19" s="38">
        <f>IF(Ampacity!P28="300",300000,0)</f>
        <v>0</v>
      </c>
      <c r="AU19" s="38">
        <f>IF(Ampacity!Q28="300",300000,0)</f>
        <v>0</v>
      </c>
      <c r="AV19" s="38">
        <f>IF(Ampacity!R28="300",300000,0)</f>
        <v>0</v>
      </c>
      <c r="AW19" s="38">
        <f>IF(Ampacity!S28="300",300000,0)</f>
        <v>0</v>
      </c>
      <c r="AX19" s="38">
        <f>IF(Ampacity!T28="300",300000,0)</f>
        <v>0</v>
      </c>
      <c r="AY19" s="40">
        <f>IF(Ampacity!U28="300",300000,0)</f>
        <v>0</v>
      </c>
    </row>
    <row r="20" spans="1:51">
      <c r="A20" s="34">
        <f>IF(Ampacity!E$5="350",350000,0)</f>
        <v>0</v>
      </c>
      <c r="B20" s="38">
        <f>IF(Ampacity!F$5="350",350000,0)</f>
        <v>0</v>
      </c>
      <c r="C20" s="38">
        <f>IF(Ampacity!G$5="350",350000,0)</f>
        <v>0</v>
      </c>
      <c r="D20" s="38">
        <f>IF(Ampacity!H$5="350",350000,0)</f>
        <v>350000</v>
      </c>
      <c r="E20" s="38">
        <f>IF(Ampacity!I$5="350",350000,0)</f>
        <v>0</v>
      </c>
      <c r="F20" s="38">
        <f>IF(Ampacity!J$5="350",350000,0)</f>
        <v>0</v>
      </c>
      <c r="G20" s="38">
        <f>IF(Ampacity!K$5="350",350000,0)</f>
        <v>0</v>
      </c>
      <c r="H20" s="38">
        <f>IF(Ampacity!L$5="350",350000,0)</f>
        <v>0</v>
      </c>
      <c r="I20" s="34">
        <f>IF(Ampacity!E9="350",350000,0)</f>
        <v>0</v>
      </c>
      <c r="J20" s="38">
        <f>IF(Ampacity!F9="350",350000,0)</f>
        <v>0</v>
      </c>
      <c r="K20" s="38">
        <f>IF(Ampacity!G9="350",350000,0)</f>
        <v>0</v>
      </c>
      <c r="L20" s="38">
        <f>IF(Ampacity!H9="350",350000,0)</f>
        <v>0</v>
      </c>
      <c r="M20" s="38">
        <f>IF(Ampacity!I9="350",350000,0)</f>
        <v>0</v>
      </c>
      <c r="N20" s="38">
        <f>IF(Ampacity!J9="350",350000,0)</f>
        <v>0</v>
      </c>
      <c r="O20" s="38">
        <f>IF(Ampacity!K9="350",350000,0)</f>
        <v>0</v>
      </c>
      <c r="P20" s="40">
        <f>IF(Ampacity!L9="350",350000,0)</f>
        <v>0</v>
      </c>
      <c r="R20" s="34">
        <f>IF(Ampacity!E28="350",350000,0)</f>
        <v>0</v>
      </c>
      <c r="S20" s="38">
        <f>IF(Ampacity!F28="350",350000,0)</f>
        <v>0</v>
      </c>
      <c r="T20" s="38">
        <f>IF(Ampacity!G28="350",350000,0)</f>
        <v>0</v>
      </c>
      <c r="U20" s="38">
        <f>IF(Ampacity!H28="350",350000,0)</f>
        <v>0</v>
      </c>
      <c r="V20" s="38">
        <f>IF(Ampacity!I28="350",350000,0)</f>
        <v>350000</v>
      </c>
      <c r="W20" s="38">
        <f>IF(Ampacity!J28="350",350000,0)</f>
        <v>0</v>
      </c>
      <c r="X20" s="38">
        <f>IF(Ampacity!K28="350",350000,0)</f>
        <v>0</v>
      </c>
      <c r="Y20" s="38">
        <f>IF(Ampacity!L28="350",350000,0)</f>
        <v>0</v>
      </c>
      <c r="Z20" s="34">
        <f>IF(Ampacity!E32="350",350000,0)</f>
        <v>0</v>
      </c>
      <c r="AA20" s="38">
        <f>IF(Ampacity!F32="350",350000,0)</f>
        <v>0</v>
      </c>
      <c r="AB20" s="38">
        <f>IF(Ampacity!G32="350",350000,0)</f>
        <v>0</v>
      </c>
      <c r="AC20" s="38">
        <f>IF(Ampacity!H32="350",350000,0)</f>
        <v>0</v>
      </c>
      <c r="AD20" s="38">
        <f>IF(Ampacity!I32="350",350000,0)</f>
        <v>0</v>
      </c>
      <c r="AE20" s="38">
        <f>IF(Ampacity!J32="350",350000,0)</f>
        <v>0</v>
      </c>
      <c r="AF20" s="38">
        <f>IF(Ampacity!K32="350",350000,0)</f>
        <v>0</v>
      </c>
      <c r="AG20" s="40">
        <f>IF(Ampacity!L32="350",350000,0)</f>
        <v>0</v>
      </c>
      <c r="AI20" s="34">
        <f>IF(Ampacity!N5="350",350000,0)</f>
        <v>0</v>
      </c>
      <c r="AJ20" s="38">
        <f>IF(Ampacity!O5="350",350000,0)</f>
        <v>0</v>
      </c>
      <c r="AK20" s="38">
        <f>IF(Ampacity!P5="350",350000,0)</f>
        <v>0</v>
      </c>
      <c r="AL20" s="38">
        <f>IF(Ampacity!Q5="350",350000,0)</f>
        <v>350000</v>
      </c>
      <c r="AM20" s="38">
        <f>IF(Ampacity!R5="350",350000,0)</f>
        <v>0</v>
      </c>
      <c r="AN20" s="38">
        <f>IF(Ampacity!S5="350",350000,0)</f>
        <v>0</v>
      </c>
      <c r="AO20" s="38">
        <f>IF(Ampacity!T5="350",350000,0)</f>
        <v>0</v>
      </c>
      <c r="AP20" s="40">
        <f>IF(Ampacity!U5="350",350000,0)</f>
        <v>0</v>
      </c>
      <c r="AR20" s="34">
        <f>IF(Ampacity!N28="350",350000,0)</f>
        <v>0</v>
      </c>
      <c r="AS20" s="38">
        <f>IF(Ampacity!O28="350",350000,0)</f>
        <v>0</v>
      </c>
      <c r="AT20" s="38">
        <f>IF(Ampacity!P28="350",350000,0)</f>
        <v>0</v>
      </c>
      <c r="AU20" s="38">
        <f>IF(Ampacity!Q28="350",350000,0)</f>
        <v>0</v>
      </c>
      <c r="AV20" s="38">
        <f>IF(Ampacity!R28="350",350000,0)</f>
        <v>0</v>
      </c>
      <c r="AW20" s="38">
        <f>IF(Ampacity!S28="350",350000,0)</f>
        <v>350000</v>
      </c>
      <c r="AX20" s="38">
        <f>IF(Ampacity!T28="350",350000,0)</f>
        <v>0</v>
      </c>
      <c r="AY20" s="40">
        <f>IF(Ampacity!U28="350",350000,0)</f>
        <v>0</v>
      </c>
    </row>
    <row r="21" spans="1:51">
      <c r="A21" s="34">
        <f>IF(Ampacity!E$5="400",400000,0)</f>
        <v>0</v>
      </c>
      <c r="B21" s="38">
        <f>IF(Ampacity!F$5="400",400000,0)</f>
        <v>0</v>
      </c>
      <c r="C21" s="38">
        <f>IF(Ampacity!G$5="400",400000,0)</f>
        <v>0</v>
      </c>
      <c r="D21" s="38">
        <f>IF(Ampacity!H$5="400",400000,0)</f>
        <v>0</v>
      </c>
      <c r="E21" s="38">
        <f>IF(Ampacity!I$5="400",400000,0)</f>
        <v>0</v>
      </c>
      <c r="F21" s="38">
        <f>IF(Ampacity!J$5="400",400000,0)</f>
        <v>0</v>
      </c>
      <c r="G21" s="38">
        <f>IF(Ampacity!K$5="400",400000,0)</f>
        <v>0</v>
      </c>
      <c r="H21" s="38">
        <f>IF(Ampacity!L$5="400",400000,0)</f>
        <v>0</v>
      </c>
      <c r="I21" s="34">
        <f>IF(Ampacity!E9="400",400000,0)</f>
        <v>0</v>
      </c>
      <c r="J21" s="38">
        <f>IF(Ampacity!F9="400",400000,0)</f>
        <v>0</v>
      </c>
      <c r="K21" s="38">
        <f>IF(Ampacity!G9="400",400000,0)</f>
        <v>0</v>
      </c>
      <c r="L21" s="38">
        <f>IF(Ampacity!H9="400",400000,0)</f>
        <v>0</v>
      </c>
      <c r="M21" s="38">
        <f>IF(Ampacity!I9="400",400000,0)</f>
        <v>0</v>
      </c>
      <c r="N21" s="38">
        <f>IF(Ampacity!J9="400",400000,0)</f>
        <v>0</v>
      </c>
      <c r="O21" s="38">
        <f>IF(Ampacity!K9="400",400000,0)</f>
        <v>0</v>
      </c>
      <c r="P21" s="40">
        <f>IF(Ampacity!L9="400",400000,0)</f>
        <v>0</v>
      </c>
      <c r="R21" s="34">
        <f>IF(Ampacity!E28="400",400000,0)</f>
        <v>0</v>
      </c>
      <c r="S21" s="38">
        <f>IF(Ampacity!F28="400",400000,0)</f>
        <v>0</v>
      </c>
      <c r="T21" s="38">
        <f>IF(Ampacity!G28="400",400000,0)</f>
        <v>0</v>
      </c>
      <c r="U21" s="38">
        <f>IF(Ampacity!H28="400",400000,0)</f>
        <v>0</v>
      </c>
      <c r="V21" s="38">
        <f>IF(Ampacity!I28="400",400000,0)</f>
        <v>0</v>
      </c>
      <c r="W21" s="38">
        <f>IF(Ampacity!J28="400",400000,0)</f>
        <v>0</v>
      </c>
      <c r="X21" s="38">
        <f>IF(Ampacity!K28="400",400000,0)</f>
        <v>0</v>
      </c>
      <c r="Y21" s="38">
        <f>IF(Ampacity!L28="400",400000,0)</f>
        <v>0</v>
      </c>
      <c r="Z21" s="34">
        <f>IF(Ampacity!E32="400",400000,0)</f>
        <v>0</v>
      </c>
      <c r="AA21" s="38">
        <f>IF(Ampacity!F32="400",400000,0)</f>
        <v>0</v>
      </c>
      <c r="AB21" s="38">
        <f>IF(Ampacity!G32="400",400000,0)</f>
        <v>0</v>
      </c>
      <c r="AC21" s="38">
        <f>IF(Ampacity!H32="400",400000,0)</f>
        <v>400000</v>
      </c>
      <c r="AD21" s="38">
        <f>IF(Ampacity!I32="400",400000,0)</f>
        <v>0</v>
      </c>
      <c r="AE21" s="38">
        <f>IF(Ampacity!J32="400",400000,0)</f>
        <v>0</v>
      </c>
      <c r="AF21" s="38">
        <f>IF(Ampacity!K32="400",400000,0)</f>
        <v>0</v>
      </c>
      <c r="AG21" s="40">
        <f>IF(Ampacity!L32="400",400000,0)</f>
        <v>0</v>
      </c>
      <c r="AI21" s="34">
        <f>IF(Ampacity!N5="400",400000,0)</f>
        <v>0</v>
      </c>
      <c r="AJ21" s="38">
        <f>IF(Ampacity!O5="400",400000,0)</f>
        <v>0</v>
      </c>
      <c r="AK21" s="38">
        <f>IF(Ampacity!P5="400",400000,0)</f>
        <v>0</v>
      </c>
      <c r="AL21" s="38">
        <f>IF(Ampacity!Q5="400",400000,0)</f>
        <v>0</v>
      </c>
      <c r="AM21" s="38">
        <f>IF(Ampacity!R5="400",400000,0)</f>
        <v>0</v>
      </c>
      <c r="AN21" s="38">
        <f>IF(Ampacity!S5="400",400000,0)</f>
        <v>0</v>
      </c>
      <c r="AO21" s="38">
        <f>IF(Ampacity!T5="400",400000,0)</f>
        <v>0</v>
      </c>
      <c r="AP21" s="40">
        <f>IF(Ampacity!U5="400",400000,0)</f>
        <v>0</v>
      </c>
      <c r="AR21" s="34">
        <f>IF(Ampacity!N28="400",400000,0)</f>
        <v>0</v>
      </c>
      <c r="AS21" s="38">
        <f>IF(Ampacity!O28="400",400000,0)</f>
        <v>0</v>
      </c>
      <c r="AT21" s="38">
        <f>IF(Ampacity!P28="400",400000,0)</f>
        <v>0</v>
      </c>
      <c r="AU21" s="38">
        <f>IF(Ampacity!Q28="400",400000,0)</f>
        <v>0</v>
      </c>
      <c r="AV21" s="38">
        <f>IF(Ampacity!R28="400",400000,0)</f>
        <v>0</v>
      </c>
      <c r="AW21" s="38">
        <f>IF(Ampacity!S28="400",400000,0)</f>
        <v>0</v>
      </c>
      <c r="AX21" s="38">
        <f>IF(Ampacity!T28="400",400000,0)</f>
        <v>0</v>
      </c>
      <c r="AY21" s="40">
        <f>IF(Ampacity!U28="400",400000,0)</f>
        <v>0</v>
      </c>
    </row>
    <row r="22" spans="1:51">
      <c r="A22" s="34">
        <f>IF(Ampacity!E$5="500",500000,0)</f>
        <v>0</v>
      </c>
      <c r="B22" s="38">
        <f>IF(Ampacity!F$5="500",500000,0)</f>
        <v>0</v>
      </c>
      <c r="C22" s="38">
        <f>IF(Ampacity!G$5="500",500000,0)</f>
        <v>0</v>
      </c>
      <c r="D22" s="38">
        <f>IF(Ampacity!H$5="500",500000,0)</f>
        <v>0</v>
      </c>
      <c r="E22" s="38">
        <f>IF(Ampacity!I$5="500",500000,0)</f>
        <v>0</v>
      </c>
      <c r="F22" s="38">
        <f>IF(Ampacity!J$5="500",500000,0)</f>
        <v>0</v>
      </c>
      <c r="G22" s="38">
        <f>IF(Ampacity!K$5="500",500000,0)</f>
        <v>0</v>
      </c>
      <c r="H22" s="38">
        <f>IF(Ampacity!L$5="500",500000,0)</f>
        <v>0</v>
      </c>
      <c r="I22" s="34">
        <f>IF(Ampacity!E9="500",500000,0)</f>
        <v>0</v>
      </c>
      <c r="J22" s="38">
        <f>IF(Ampacity!F9="500",500000,0)</f>
        <v>0</v>
      </c>
      <c r="K22" s="38">
        <f>IF(Ampacity!G9="500",500000,0)</f>
        <v>500000</v>
      </c>
      <c r="L22" s="38">
        <f>IF(Ampacity!H9="500",500000,0)</f>
        <v>0</v>
      </c>
      <c r="M22" s="38">
        <f>IF(Ampacity!I9="500",500000,0)</f>
        <v>0</v>
      </c>
      <c r="N22" s="38">
        <f>IF(Ampacity!J9="500",500000,0)</f>
        <v>0</v>
      </c>
      <c r="O22" s="38">
        <f>IF(Ampacity!K9="500",500000,0)</f>
        <v>0</v>
      </c>
      <c r="P22" s="40">
        <f>IF(Ampacity!L9="500",500000,0)</f>
        <v>0</v>
      </c>
      <c r="R22" s="34">
        <f>IF(Ampacity!E28="500",500000,0)</f>
        <v>0</v>
      </c>
      <c r="S22" s="38">
        <f>IF(Ampacity!F28="500",500000,0)</f>
        <v>0</v>
      </c>
      <c r="T22" s="38">
        <f>IF(Ampacity!G28="500",500000,0)</f>
        <v>0</v>
      </c>
      <c r="U22" s="38">
        <f>IF(Ampacity!H28="500",500000,0)</f>
        <v>500000</v>
      </c>
      <c r="V22" s="38">
        <f>IF(Ampacity!I28="500",500000,0)</f>
        <v>0</v>
      </c>
      <c r="W22" s="38">
        <f>IF(Ampacity!J28="500",500000,0)</f>
        <v>0</v>
      </c>
      <c r="X22" s="38">
        <f>IF(Ampacity!K28="500",500000,0)</f>
        <v>0</v>
      </c>
      <c r="Y22" s="38">
        <f>IF(Ampacity!L28="500",500000,0)</f>
        <v>0</v>
      </c>
      <c r="Z22" s="34">
        <f>IF(Ampacity!E32="500",500000,0)</f>
        <v>0</v>
      </c>
      <c r="AA22" s="38">
        <f>IF(Ampacity!F32="500",500000,0)</f>
        <v>0</v>
      </c>
      <c r="AB22" s="38">
        <f>IF(Ampacity!G32="500",500000,0)</f>
        <v>0</v>
      </c>
      <c r="AC22" s="38">
        <f>IF(Ampacity!H32="500",500000,0)</f>
        <v>0</v>
      </c>
      <c r="AD22" s="38">
        <f>IF(Ampacity!I32="500",500000,0)</f>
        <v>0</v>
      </c>
      <c r="AE22" s="38">
        <f>IF(Ampacity!J32="500",500000,0)</f>
        <v>0</v>
      </c>
      <c r="AF22" s="38">
        <f>IF(Ampacity!K32="500",500000,0)</f>
        <v>0</v>
      </c>
      <c r="AG22" s="40">
        <f>IF(Ampacity!L32="500",500000,0)</f>
        <v>0</v>
      </c>
      <c r="AI22" s="34">
        <f>IF(Ampacity!N5="500",500000,0)</f>
        <v>0</v>
      </c>
      <c r="AJ22" s="38">
        <f>IF(Ampacity!O5="500",500000,0)</f>
        <v>0</v>
      </c>
      <c r="AK22" s="38">
        <f>IF(Ampacity!P5="500",500000,0)</f>
        <v>0</v>
      </c>
      <c r="AL22" s="38">
        <f>IF(Ampacity!Q5="500",500000,0)</f>
        <v>0</v>
      </c>
      <c r="AM22" s="38">
        <f>IF(Ampacity!R5="500",500000,0)</f>
        <v>0</v>
      </c>
      <c r="AN22" s="38">
        <f>IF(Ampacity!S5="500",500000,0)</f>
        <v>0</v>
      </c>
      <c r="AO22" s="38">
        <f>IF(Ampacity!T5="500",500000,0)</f>
        <v>0</v>
      </c>
      <c r="AP22" s="40">
        <f>IF(Ampacity!U5="500",500000,0)</f>
        <v>0</v>
      </c>
      <c r="AR22" s="34">
        <f>IF(Ampacity!N28="500",500000,0)</f>
        <v>0</v>
      </c>
      <c r="AS22" s="38">
        <f>IF(Ampacity!O28="500",500000,0)</f>
        <v>0</v>
      </c>
      <c r="AT22" s="38">
        <f>IF(Ampacity!P28="500",500000,0)</f>
        <v>0</v>
      </c>
      <c r="AU22" s="38">
        <f>IF(Ampacity!Q28="500",500000,0)</f>
        <v>0</v>
      </c>
      <c r="AV22" s="38">
        <f>IF(Ampacity!R28="500",500000,0)</f>
        <v>500000</v>
      </c>
      <c r="AW22" s="38">
        <f>IF(Ampacity!S28="500",500000,0)</f>
        <v>0</v>
      </c>
      <c r="AX22" s="38">
        <f>IF(Ampacity!T28="500",500000,0)</f>
        <v>0</v>
      </c>
      <c r="AY22" s="40">
        <f>IF(Ampacity!U28="500",500000,0)</f>
        <v>0</v>
      </c>
    </row>
    <row r="23" spans="1:51">
      <c r="A23" s="34">
        <f>IF(Ampacity!E$5="600",600000,0)</f>
        <v>0</v>
      </c>
      <c r="B23" s="38">
        <f>IF(Ampacity!F$5="600",600000,0)</f>
        <v>0</v>
      </c>
      <c r="C23" s="38">
        <f>IF(Ampacity!G$5="600",600000,0)</f>
        <v>600000</v>
      </c>
      <c r="D23" s="38">
        <f>IF(Ampacity!H$5="600",600000,0)</f>
        <v>0</v>
      </c>
      <c r="E23" s="38">
        <f>IF(Ampacity!I$5="600",600000,0)</f>
        <v>0</v>
      </c>
      <c r="F23" s="38">
        <f>IF(Ampacity!J$5="600",600000,0)</f>
        <v>0</v>
      </c>
      <c r="G23" s="38">
        <f>IF(Ampacity!K$5="600",600000,0)</f>
        <v>0</v>
      </c>
      <c r="H23" s="38">
        <f>IF(Ampacity!L$5="600",600000,0)</f>
        <v>0</v>
      </c>
      <c r="I23" s="34">
        <f>IF(Ampacity!E9="600",600000,0)</f>
        <v>0</v>
      </c>
      <c r="J23" s="38">
        <f>IF(Ampacity!F9="600",600000,0)</f>
        <v>0</v>
      </c>
      <c r="K23" s="38">
        <f>IF(Ampacity!G9="600",600000,0)</f>
        <v>0</v>
      </c>
      <c r="L23" s="38">
        <f>IF(Ampacity!H9="600",600000,0)</f>
        <v>0</v>
      </c>
      <c r="M23" s="38">
        <f>IF(Ampacity!I9="600",600000,0)</f>
        <v>0</v>
      </c>
      <c r="N23" s="38">
        <f>IF(Ampacity!J9="600",600000,0)</f>
        <v>0</v>
      </c>
      <c r="O23" s="38">
        <f>IF(Ampacity!K9="600",600000,0)</f>
        <v>0</v>
      </c>
      <c r="P23" s="40">
        <f>IF(Ampacity!L9="600",600000,0)</f>
        <v>0</v>
      </c>
      <c r="R23" s="34">
        <f>IF(Ampacity!E28="600",600000,0)</f>
        <v>0</v>
      </c>
      <c r="S23" s="38">
        <f>IF(Ampacity!F28="600",600000,0)</f>
        <v>0</v>
      </c>
      <c r="T23" s="38">
        <f>IF(Ampacity!G28="600",600000,0)</f>
        <v>0</v>
      </c>
      <c r="U23" s="38">
        <f>IF(Ampacity!H28="600",600000,0)</f>
        <v>0</v>
      </c>
      <c r="V23" s="38">
        <f>IF(Ampacity!I28="600",600000,0)</f>
        <v>0</v>
      </c>
      <c r="W23" s="38">
        <f>IF(Ampacity!J28="600",600000,0)</f>
        <v>0</v>
      </c>
      <c r="X23" s="38">
        <f>IF(Ampacity!K28="600",600000,0)</f>
        <v>0</v>
      </c>
      <c r="Y23" s="38">
        <f>IF(Ampacity!L28="600",600000,0)</f>
        <v>0</v>
      </c>
      <c r="Z23" s="34">
        <f>IF(Ampacity!E32="600",600000,0)</f>
        <v>0</v>
      </c>
      <c r="AA23" s="38">
        <f>IF(Ampacity!F32="600",600000,0)</f>
        <v>0</v>
      </c>
      <c r="AB23" s="38">
        <f>IF(Ampacity!G32="600",600000,0)</f>
        <v>0</v>
      </c>
      <c r="AC23" s="38">
        <f>IF(Ampacity!H32="600",600000,0)</f>
        <v>0</v>
      </c>
      <c r="AD23" s="38">
        <f>IF(Ampacity!I32="600",600000,0)</f>
        <v>0</v>
      </c>
      <c r="AE23" s="38">
        <f>IF(Ampacity!J32="600",600000,0)</f>
        <v>0</v>
      </c>
      <c r="AF23" s="38">
        <f>IF(Ampacity!K32="600",600000,0)</f>
        <v>0</v>
      </c>
      <c r="AG23" s="40">
        <f>IF(Ampacity!L32="600",600000,0)</f>
        <v>0</v>
      </c>
      <c r="AI23" s="34">
        <f>IF(Ampacity!N5="600",600000,0)</f>
        <v>0</v>
      </c>
      <c r="AJ23" s="38">
        <f>IF(Ampacity!O5="600",600000,0)</f>
        <v>600000</v>
      </c>
      <c r="AK23" s="38">
        <f>IF(Ampacity!P5="600",600000,0)</f>
        <v>600000</v>
      </c>
      <c r="AL23" s="38">
        <f>IF(Ampacity!Q5="600",600000,0)</f>
        <v>0</v>
      </c>
      <c r="AM23" s="38">
        <f>IF(Ampacity!R5="600",600000,0)</f>
        <v>0</v>
      </c>
      <c r="AN23" s="38">
        <f>IF(Ampacity!S5="600",600000,0)</f>
        <v>0</v>
      </c>
      <c r="AO23" s="38">
        <f>IF(Ampacity!T5="600",600000,0)</f>
        <v>0</v>
      </c>
      <c r="AP23" s="40">
        <f>IF(Ampacity!U5="600",600000,0)</f>
        <v>0</v>
      </c>
      <c r="AR23" s="34">
        <f>IF(Ampacity!N28="600",600000,0)</f>
        <v>0</v>
      </c>
      <c r="AS23" s="38">
        <f>IF(Ampacity!O28="600",600000,0)</f>
        <v>0</v>
      </c>
      <c r="AT23" s="38">
        <f>IF(Ampacity!P28="600",600000,0)</f>
        <v>0</v>
      </c>
      <c r="AU23" s="38">
        <f>IF(Ampacity!Q28="600",600000,0)</f>
        <v>600000</v>
      </c>
      <c r="AV23" s="38">
        <f>IF(Ampacity!R28="600",600000,0)</f>
        <v>0</v>
      </c>
      <c r="AW23" s="38">
        <f>IF(Ampacity!S28="600",600000,0)</f>
        <v>0</v>
      </c>
      <c r="AX23" s="38">
        <f>IF(Ampacity!T28="600",600000,0)</f>
        <v>0</v>
      </c>
      <c r="AY23" s="40">
        <f>IF(Ampacity!U28="600",600000,0)</f>
        <v>0</v>
      </c>
    </row>
    <row r="24" spans="1:51">
      <c r="A24" s="34">
        <f>IF(Ampacity!E$5="700",700000,0)</f>
        <v>0</v>
      </c>
      <c r="B24" s="38">
        <f>IF(Ampacity!F$5="700",700000,0)</f>
        <v>0</v>
      </c>
      <c r="C24" s="38">
        <f>IF(Ampacity!G$5="700",700000,0)</f>
        <v>0</v>
      </c>
      <c r="D24" s="38">
        <f>IF(Ampacity!H$5="700",700000,0)</f>
        <v>0</v>
      </c>
      <c r="E24" s="38">
        <f>IF(Ampacity!I$5="700",700000,0)</f>
        <v>0</v>
      </c>
      <c r="F24" s="38">
        <f>IF(Ampacity!J$5="700",700000,0)</f>
        <v>0</v>
      </c>
      <c r="G24" s="38">
        <f>IF(Ampacity!K$5="700",700000,0)</f>
        <v>0</v>
      </c>
      <c r="H24" s="38">
        <f>IF(Ampacity!L$5="700",700000,0)</f>
        <v>0</v>
      </c>
      <c r="I24" s="34">
        <f>IF(Ampacity!E9="700",700000,0)</f>
        <v>0</v>
      </c>
      <c r="J24" s="38">
        <f>IF(Ampacity!F9="700",700000,0)</f>
        <v>0</v>
      </c>
      <c r="K24" s="38">
        <f>IF(Ampacity!G9="700",700000,0)</f>
        <v>0</v>
      </c>
      <c r="L24" s="38">
        <f>IF(Ampacity!H9="700",700000,0)</f>
        <v>0</v>
      </c>
      <c r="M24" s="38">
        <f>IF(Ampacity!I9="700",700000,0)</f>
        <v>0</v>
      </c>
      <c r="N24" s="38">
        <f>IF(Ampacity!J9="700",700000,0)</f>
        <v>0</v>
      </c>
      <c r="O24" s="38">
        <f>IF(Ampacity!K9="700",700000,0)</f>
        <v>0</v>
      </c>
      <c r="P24" s="40">
        <f>IF(Ampacity!L9="700",700000,0)</f>
        <v>0</v>
      </c>
      <c r="R24" s="34">
        <f>IF(Ampacity!E28="700",700000,0)</f>
        <v>0</v>
      </c>
      <c r="S24" s="38">
        <f>IF(Ampacity!F28="700",700000,0)</f>
        <v>0</v>
      </c>
      <c r="T24" s="38">
        <f>IF(Ampacity!G28="700",700000,0)</f>
        <v>0</v>
      </c>
      <c r="U24" s="38">
        <f>IF(Ampacity!H28="700",700000,0)</f>
        <v>0</v>
      </c>
      <c r="V24" s="38">
        <f>IF(Ampacity!I28="700",700000,0)</f>
        <v>0</v>
      </c>
      <c r="W24" s="38">
        <f>IF(Ampacity!J28="700",700000,0)</f>
        <v>0</v>
      </c>
      <c r="X24" s="38">
        <f>IF(Ampacity!K28="700",700000,0)</f>
        <v>0</v>
      </c>
      <c r="Y24" s="38">
        <f>IF(Ampacity!L28="700",700000,0)</f>
        <v>0</v>
      </c>
      <c r="Z24" s="34">
        <f>IF(Ampacity!E32="700",700000,0)</f>
        <v>0</v>
      </c>
      <c r="AA24" s="38">
        <f>IF(Ampacity!F32="700",700000,0)</f>
        <v>0</v>
      </c>
      <c r="AB24" s="38">
        <f>IF(Ampacity!G32="700",700000,0)</f>
        <v>700000</v>
      </c>
      <c r="AC24" s="38">
        <f>IF(Ampacity!H32="700",700000,0)</f>
        <v>0</v>
      </c>
      <c r="AD24" s="38">
        <f>IF(Ampacity!I32="700",700000,0)</f>
        <v>0</v>
      </c>
      <c r="AE24" s="38">
        <f>IF(Ampacity!J32="700",700000,0)</f>
        <v>0</v>
      </c>
      <c r="AF24" s="38">
        <f>IF(Ampacity!K32="700",700000,0)</f>
        <v>0</v>
      </c>
      <c r="AG24" s="40">
        <f>IF(Ampacity!L32="700",700000,0)</f>
        <v>0</v>
      </c>
      <c r="AI24" s="34">
        <f>IF(Ampacity!N5="700",700000,0)</f>
        <v>0</v>
      </c>
      <c r="AJ24" s="38">
        <f>IF(Ampacity!O5="700",700000,0)</f>
        <v>0</v>
      </c>
      <c r="AK24" s="38">
        <f>IF(Ampacity!P5="700",700000,0)</f>
        <v>0</v>
      </c>
      <c r="AL24" s="38">
        <f>IF(Ampacity!Q5="700",700000,0)</f>
        <v>0</v>
      </c>
      <c r="AM24" s="38">
        <f>IF(Ampacity!R5="700",700000,0)</f>
        <v>0</v>
      </c>
      <c r="AN24" s="38">
        <f>IF(Ampacity!S5="700",700000,0)</f>
        <v>0</v>
      </c>
      <c r="AO24" s="38">
        <f>IF(Ampacity!T5="700",700000,0)</f>
        <v>0</v>
      </c>
      <c r="AP24" s="40">
        <f>IF(Ampacity!U5="700",700000,0)</f>
        <v>0</v>
      </c>
      <c r="AR24" s="34">
        <f>IF(Ampacity!N28="700",700000,0)</f>
        <v>0</v>
      </c>
      <c r="AS24" s="38">
        <f>IF(Ampacity!O28="700",700000,0)</f>
        <v>0</v>
      </c>
      <c r="AT24" s="38">
        <f>IF(Ampacity!P28="700",700000,0)</f>
        <v>0</v>
      </c>
      <c r="AU24" s="38">
        <f>IF(Ampacity!Q28="700",700000,0)</f>
        <v>0</v>
      </c>
      <c r="AV24" s="38">
        <f>IF(Ampacity!R28="700",700000,0)</f>
        <v>0</v>
      </c>
      <c r="AW24" s="38">
        <f>IF(Ampacity!S28="700",700000,0)</f>
        <v>0</v>
      </c>
      <c r="AX24" s="38">
        <f>IF(Ampacity!T28="700",700000,0)</f>
        <v>0</v>
      </c>
      <c r="AY24" s="40">
        <f>IF(Ampacity!U28="700",700000,0)</f>
        <v>0</v>
      </c>
    </row>
    <row r="25" spans="1:51">
      <c r="A25" s="34">
        <f>IF(Ampacity!E$5="750",750000,0)</f>
        <v>0</v>
      </c>
      <c r="B25" s="38">
        <f>IF(Ampacity!F$5="750",750000,0)</f>
        <v>0</v>
      </c>
      <c r="C25" s="38">
        <f>IF(Ampacity!G$5="750",750000,0)</f>
        <v>0</v>
      </c>
      <c r="D25" s="38">
        <f>IF(Ampacity!H$5="750",750000,0)</f>
        <v>0</v>
      </c>
      <c r="E25" s="38">
        <f>IF(Ampacity!I$5="750",750000,0)</f>
        <v>0</v>
      </c>
      <c r="F25" s="38">
        <f>IF(Ampacity!J$5="750",750000,0)</f>
        <v>0</v>
      </c>
      <c r="G25" s="38">
        <f>IF(Ampacity!K$5="750",750000,0)</f>
        <v>0</v>
      </c>
      <c r="H25" s="38">
        <f>IF(Ampacity!L$5="750",750000,0)</f>
        <v>0</v>
      </c>
      <c r="I25" s="34">
        <f>IF(Ampacity!E9="750",750000,0)</f>
        <v>0</v>
      </c>
      <c r="J25" s="38">
        <f>IF(Ampacity!F9="750",750000,0)</f>
        <v>0</v>
      </c>
      <c r="K25" s="38">
        <f>IF(Ampacity!G9="750",750000,0)</f>
        <v>0</v>
      </c>
      <c r="L25" s="38">
        <f>IF(Ampacity!H9="750",750000,0)</f>
        <v>0</v>
      </c>
      <c r="M25" s="38">
        <f>IF(Ampacity!I9="750",750000,0)</f>
        <v>0</v>
      </c>
      <c r="N25" s="38">
        <f>IF(Ampacity!J9="750",750000,0)</f>
        <v>0</v>
      </c>
      <c r="O25" s="38">
        <f>IF(Ampacity!K9="750",750000,0)</f>
        <v>0</v>
      </c>
      <c r="P25" s="40">
        <f>IF(Ampacity!L9="750",750000,0)</f>
        <v>0</v>
      </c>
      <c r="R25" s="34">
        <f>IF(Ampacity!E28="750",750000,0)</f>
        <v>0</v>
      </c>
      <c r="S25" s="38">
        <f>IF(Ampacity!F28="750",750000,0)</f>
        <v>0</v>
      </c>
      <c r="T25" s="38">
        <f>IF(Ampacity!G28="750",750000,0)</f>
        <v>0</v>
      </c>
      <c r="U25" s="38">
        <f>IF(Ampacity!H28="750",750000,0)</f>
        <v>0</v>
      </c>
      <c r="V25" s="38">
        <f>IF(Ampacity!I28="750",750000,0)</f>
        <v>0</v>
      </c>
      <c r="W25" s="38">
        <f>IF(Ampacity!J28="750",750000,0)</f>
        <v>0</v>
      </c>
      <c r="X25" s="38">
        <f>IF(Ampacity!K28="750",750000,0)</f>
        <v>0</v>
      </c>
      <c r="Y25" s="38">
        <f>IF(Ampacity!L28="750",750000,0)</f>
        <v>0</v>
      </c>
      <c r="Z25" s="34">
        <f>IF(Ampacity!E32="750",750000,0)</f>
        <v>0</v>
      </c>
      <c r="AA25" s="38">
        <f>IF(Ampacity!F32="750",750000,0)</f>
        <v>0</v>
      </c>
      <c r="AB25" s="38">
        <f>IF(Ampacity!G32="750",750000,0)</f>
        <v>0</v>
      </c>
      <c r="AC25" s="38">
        <f>IF(Ampacity!H32="750",750000,0)</f>
        <v>0</v>
      </c>
      <c r="AD25" s="38">
        <f>IF(Ampacity!I32="750",750000,0)</f>
        <v>0</v>
      </c>
      <c r="AE25" s="38">
        <f>IF(Ampacity!J32="750",750000,0)</f>
        <v>0</v>
      </c>
      <c r="AF25" s="38">
        <f>IF(Ampacity!K32="750",750000,0)</f>
        <v>0</v>
      </c>
      <c r="AG25" s="40">
        <f>IF(Ampacity!L32="750",750000,0)</f>
        <v>0</v>
      </c>
      <c r="AI25" s="34">
        <f>IF(Ampacity!N5="750",750000,0)</f>
        <v>750000</v>
      </c>
      <c r="AJ25" s="38">
        <f>IF(Ampacity!O5="750",750000,0)</f>
        <v>0</v>
      </c>
      <c r="AK25" s="38">
        <f>IF(Ampacity!P5="750",750000,0)</f>
        <v>0</v>
      </c>
      <c r="AL25" s="38">
        <f>IF(Ampacity!Q5="750",750000,0)</f>
        <v>0</v>
      </c>
      <c r="AM25" s="38">
        <f>IF(Ampacity!R5="750",750000,0)</f>
        <v>0</v>
      </c>
      <c r="AN25" s="38">
        <f>IF(Ampacity!S5="750",750000,0)</f>
        <v>0</v>
      </c>
      <c r="AO25" s="38">
        <f>IF(Ampacity!T5="750",750000,0)</f>
        <v>0</v>
      </c>
      <c r="AP25" s="40">
        <f>IF(Ampacity!U5="750",750000,0)</f>
        <v>0</v>
      </c>
      <c r="AR25" s="34">
        <f>IF(Ampacity!N28="750",750000,0)</f>
        <v>750000</v>
      </c>
      <c r="AS25" s="38">
        <f>IF(Ampacity!O28="750",750000,0)</f>
        <v>0</v>
      </c>
      <c r="AT25" s="38">
        <f>IF(Ampacity!P28="750",750000,0)</f>
        <v>0</v>
      </c>
      <c r="AU25" s="38">
        <f>IF(Ampacity!Q28="750",750000,0)</f>
        <v>0</v>
      </c>
      <c r="AV25" s="38">
        <f>IF(Ampacity!R28="750",750000,0)</f>
        <v>0</v>
      </c>
      <c r="AW25" s="38">
        <f>IF(Ampacity!S28="750",750000,0)</f>
        <v>0</v>
      </c>
      <c r="AX25" s="38">
        <f>IF(Ampacity!T28="750",750000,0)</f>
        <v>0</v>
      </c>
      <c r="AY25" s="40">
        <f>IF(Ampacity!U28="750",750000,0)</f>
        <v>0</v>
      </c>
    </row>
    <row r="26" spans="1:51">
      <c r="A26" s="34">
        <f>IF(Ampacity!E$5="800",800000,0)</f>
        <v>0</v>
      </c>
      <c r="B26" s="38">
        <f>IF(Ampacity!F$5="800",800000,0)</f>
        <v>0</v>
      </c>
      <c r="C26" s="38">
        <f>IF(Ampacity!G$5="800",800000,0)</f>
        <v>0</v>
      </c>
      <c r="D26" s="38">
        <f>IF(Ampacity!H$5="800",800000,0)</f>
        <v>0</v>
      </c>
      <c r="E26" s="38">
        <f>IF(Ampacity!I$5="800",800000,0)</f>
        <v>0</v>
      </c>
      <c r="F26" s="38">
        <f>IF(Ampacity!J$5="800",800000,0)</f>
        <v>0</v>
      </c>
      <c r="G26" s="38">
        <f>IF(Ampacity!K$5="800",800000,0)</f>
        <v>0</v>
      </c>
      <c r="H26" s="38">
        <f>IF(Ampacity!L$5="800",800000,0)</f>
        <v>0</v>
      </c>
      <c r="I26" s="34">
        <f>IF(Ampacity!E9="800",800000,0)</f>
        <v>0</v>
      </c>
      <c r="J26" s="38">
        <f>IF(Ampacity!F9="800",800000,0)</f>
        <v>0</v>
      </c>
      <c r="K26" s="38">
        <f>IF(Ampacity!G9="800",800000,0)</f>
        <v>0</v>
      </c>
      <c r="L26" s="38">
        <f>IF(Ampacity!H9="800",800000,0)</f>
        <v>0</v>
      </c>
      <c r="M26" s="38">
        <f>IF(Ampacity!I9="800",800000,0)</f>
        <v>0</v>
      </c>
      <c r="N26" s="38">
        <f>IF(Ampacity!J9="800",800000,0)</f>
        <v>0</v>
      </c>
      <c r="O26" s="38">
        <f>IF(Ampacity!K9="800",800000,0)</f>
        <v>0</v>
      </c>
      <c r="P26" s="40">
        <f>IF(Ampacity!L9="800",800000,0)</f>
        <v>0</v>
      </c>
      <c r="R26" s="34">
        <f>IF(Ampacity!E28="800",800000,0)</f>
        <v>0</v>
      </c>
      <c r="S26" s="38">
        <f>IF(Ampacity!F28="800",800000,0)</f>
        <v>0</v>
      </c>
      <c r="T26" s="38">
        <f>IF(Ampacity!G28="800",800000,0)</f>
        <v>0</v>
      </c>
      <c r="U26" s="38">
        <f>IF(Ampacity!H28="800",800000,0)</f>
        <v>0</v>
      </c>
      <c r="V26" s="38">
        <f>IF(Ampacity!I28="800",800000,0)</f>
        <v>0</v>
      </c>
      <c r="W26" s="38">
        <f>IF(Ampacity!J28="800",800000,0)</f>
        <v>0</v>
      </c>
      <c r="X26" s="38">
        <f>IF(Ampacity!K28="800",800000,0)</f>
        <v>0</v>
      </c>
      <c r="Y26" s="38">
        <f>IF(Ampacity!L28="800",800000,0)</f>
        <v>0</v>
      </c>
      <c r="Z26" s="34">
        <f>IF(Ampacity!E32="800",800000,0)</f>
        <v>0</v>
      </c>
      <c r="AA26" s="38">
        <f>IF(Ampacity!F32="800",800000,0)</f>
        <v>0</v>
      </c>
      <c r="AB26" s="38">
        <f>IF(Ampacity!G32="800",800000,0)</f>
        <v>0</v>
      </c>
      <c r="AC26" s="38">
        <f>IF(Ampacity!H32="800",800000,0)</f>
        <v>0</v>
      </c>
      <c r="AD26" s="38">
        <f>IF(Ampacity!I32="800",800000,0)</f>
        <v>0</v>
      </c>
      <c r="AE26" s="38">
        <f>IF(Ampacity!J32="800",800000,0)</f>
        <v>0</v>
      </c>
      <c r="AF26" s="38">
        <f>IF(Ampacity!K32="800",800000,0)</f>
        <v>0</v>
      </c>
      <c r="AG26" s="40">
        <f>IF(Ampacity!L32="800",800000,0)</f>
        <v>0</v>
      </c>
      <c r="AI26" s="34">
        <f>IF(Ampacity!N5="800",800000,0)</f>
        <v>0</v>
      </c>
      <c r="AJ26" s="38">
        <f>IF(Ampacity!O5="800",800000,0)</f>
        <v>0</v>
      </c>
      <c r="AK26" s="38">
        <f>IF(Ampacity!P5="800",800000,0)</f>
        <v>0</v>
      </c>
      <c r="AL26" s="38">
        <f>IF(Ampacity!Q5="800",800000,0)</f>
        <v>0</v>
      </c>
      <c r="AM26" s="38">
        <f>IF(Ampacity!R5="800",800000,0)</f>
        <v>0</v>
      </c>
      <c r="AN26" s="38">
        <f>IF(Ampacity!S5="800",800000,0)</f>
        <v>0</v>
      </c>
      <c r="AO26" s="38">
        <f>IF(Ampacity!T5="800",800000,0)</f>
        <v>0</v>
      </c>
      <c r="AP26" s="40">
        <f>IF(Ampacity!U5="800",800000,0)</f>
        <v>0</v>
      </c>
      <c r="AR26" s="34">
        <f>IF(Ampacity!N28="800",800000,0)</f>
        <v>0</v>
      </c>
      <c r="AS26" s="38">
        <f>IF(Ampacity!O28="800",800000,0)</f>
        <v>0</v>
      </c>
      <c r="AT26" s="38">
        <f>IF(Ampacity!P28="800",800000,0)</f>
        <v>0</v>
      </c>
      <c r="AU26" s="38">
        <f>IF(Ampacity!Q28="800",800000,0)</f>
        <v>0</v>
      </c>
      <c r="AV26" s="38">
        <f>IF(Ampacity!R28="800",800000,0)</f>
        <v>0</v>
      </c>
      <c r="AW26" s="38">
        <f>IF(Ampacity!S28="800",800000,0)</f>
        <v>0</v>
      </c>
      <c r="AX26" s="38">
        <f>IF(Ampacity!T28="800",800000,0)</f>
        <v>0</v>
      </c>
      <c r="AY26" s="40">
        <f>IF(Ampacity!U28="800",800000,0)</f>
        <v>0</v>
      </c>
    </row>
    <row r="27" spans="1:51">
      <c r="A27" s="34">
        <f>IF(Ampacity!E$5="900",900000,0)</f>
        <v>0</v>
      </c>
      <c r="B27" s="38">
        <f>IF(Ampacity!F$5="900",900000,0)</f>
        <v>0</v>
      </c>
      <c r="C27" s="38">
        <f>IF(Ampacity!G$5="900",900000,0)</f>
        <v>0</v>
      </c>
      <c r="D27" s="38">
        <f>IF(Ampacity!H$5="900",900000,0)</f>
        <v>0</v>
      </c>
      <c r="E27" s="38">
        <f>IF(Ampacity!I$5="900",900000,0)</f>
        <v>0</v>
      </c>
      <c r="F27" s="38">
        <f>IF(Ampacity!J$5="900",900000,0)</f>
        <v>0</v>
      </c>
      <c r="G27" s="38">
        <f>IF(Ampacity!K$5="900",900000,0)</f>
        <v>0</v>
      </c>
      <c r="H27" s="38">
        <f>IF(Ampacity!L$5="900",900000,0)</f>
        <v>0</v>
      </c>
      <c r="I27" s="34">
        <f>IF(Ampacity!E9="900",900000,0)</f>
        <v>0</v>
      </c>
      <c r="J27" s="38">
        <f>IF(Ampacity!F9="900",900000,0)</f>
        <v>0</v>
      </c>
      <c r="K27" s="38">
        <f>IF(Ampacity!G9="900",900000,0)</f>
        <v>0</v>
      </c>
      <c r="L27" s="38">
        <f>IF(Ampacity!H9="900",900000,0)</f>
        <v>0</v>
      </c>
      <c r="M27" s="38">
        <f>IF(Ampacity!I9="900",900000,0)</f>
        <v>0</v>
      </c>
      <c r="N27" s="38">
        <f>IF(Ampacity!J9="900",900000,0)</f>
        <v>0</v>
      </c>
      <c r="O27" s="38">
        <f>IF(Ampacity!K9="900",900000,0)</f>
        <v>0</v>
      </c>
      <c r="P27" s="40">
        <f>IF(Ampacity!L9="900",900000,0)</f>
        <v>0</v>
      </c>
      <c r="R27" s="34">
        <f>IF(Ampacity!E28="900",900000,0)</f>
        <v>0</v>
      </c>
      <c r="S27" s="38">
        <f>IF(Ampacity!F28="900",900000,0)</f>
        <v>0</v>
      </c>
      <c r="T27" s="38">
        <f>IF(Ampacity!G28="900",900000,0)</f>
        <v>900000</v>
      </c>
      <c r="U27" s="38">
        <f>IF(Ampacity!H28="900",900000,0)</f>
        <v>0</v>
      </c>
      <c r="V27" s="38">
        <f>IF(Ampacity!I28="900",900000,0)</f>
        <v>0</v>
      </c>
      <c r="W27" s="38">
        <f>IF(Ampacity!J28="900",900000,0)</f>
        <v>0</v>
      </c>
      <c r="X27" s="38">
        <f>IF(Ampacity!K28="900",900000,0)</f>
        <v>0</v>
      </c>
      <c r="Y27" s="38">
        <f>IF(Ampacity!L28="900",900000,0)</f>
        <v>0</v>
      </c>
      <c r="Z27" s="34">
        <f>IF(Ampacity!E32="900",900000,0)</f>
        <v>0</v>
      </c>
      <c r="AA27" s="38">
        <f>IF(Ampacity!F32="900",900000,0)</f>
        <v>0</v>
      </c>
      <c r="AB27" s="38">
        <f>IF(Ampacity!G32="900",900000,0)</f>
        <v>0</v>
      </c>
      <c r="AC27" s="38">
        <f>IF(Ampacity!H32="900",900000,0)</f>
        <v>0</v>
      </c>
      <c r="AD27" s="38">
        <f>IF(Ampacity!I32="900",900000,0)</f>
        <v>0</v>
      </c>
      <c r="AE27" s="38">
        <f>IF(Ampacity!J32="900",900000,0)</f>
        <v>0</v>
      </c>
      <c r="AF27" s="38">
        <f>IF(Ampacity!K32="900",900000,0)</f>
        <v>0</v>
      </c>
      <c r="AG27" s="40">
        <f>IF(Ampacity!L32="900",900000,0)</f>
        <v>0</v>
      </c>
      <c r="AI27" s="34">
        <f>IF(Ampacity!N5="900",900000,0)</f>
        <v>0</v>
      </c>
      <c r="AJ27" s="38">
        <f>IF(Ampacity!O5="900",900000,0)</f>
        <v>0</v>
      </c>
      <c r="AK27" s="38">
        <f>IF(Ampacity!P5="900",900000,0)</f>
        <v>0</v>
      </c>
      <c r="AL27" s="38">
        <f>IF(Ampacity!Q5="900",900000,0)</f>
        <v>0</v>
      </c>
      <c r="AM27" s="38">
        <f>IF(Ampacity!R5="900",900000,0)</f>
        <v>0</v>
      </c>
      <c r="AN27" s="38">
        <f>IF(Ampacity!S5="900",900000,0)</f>
        <v>0</v>
      </c>
      <c r="AO27" s="38">
        <f>IF(Ampacity!T5="900",900000,0)</f>
        <v>0</v>
      </c>
      <c r="AP27" s="40">
        <f>IF(Ampacity!U5="900",900000,0)</f>
        <v>0</v>
      </c>
      <c r="AR27" s="34">
        <f>IF(Ampacity!N28="900",900000,0)</f>
        <v>0</v>
      </c>
      <c r="AS27" s="38">
        <f>IF(Ampacity!O28="900",900000,0)</f>
        <v>0</v>
      </c>
      <c r="AT27" s="38">
        <f>IF(Ampacity!P28="900",900000,0)</f>
        <v>0</v>
      </c>
      <c r="AU27" s="38">
        <f>IF(Ampacity!Q28="900",900000,0)</f>
        <v>0</v>
      </c>
      <c r="AV27" s="38">
        <f>IF(Ampacity!R28="900",900000,0)</f>
        <v>0</v>
      </c>
      <c r="AW27" s="38">
        <f>IF(Ampacity!S28="900",900000,0)</f>
        <v>0</v>
      </c>
      <c r="AX27" s="38">
        <f>IF(Ampacity!T28="900",900000,0)</f>
        <v>0</v>
      </c>
      <c r="AY27" s="40">
        <f>IF(Ampacity!U28="900",900000,0)</f>
        <v>0</v>
      </c>
    </row>
    <row r="28" spans="1:51">
      <c r="A28" s="34">
        <f>IF(Ampacity!E$5="1000",1000000,0)</f>
        <v>0</v>
      </c>
      <c r="B28" s="38">
        <f>IF(Ampacity!F$5="1000",1000000,0)</f>
        <v>0</v>
      </c>
      <c r="C28" s="38">
        <f>IF(Ampacity!G$5="1000",1000000,0)</f>
        <v>0</v>
      </c>
      <c r="D28" s="38">
        <f>IF(Ampacity!H$5="1000",1000000,0)</f>
        <v>0</v>
      </c>
      <c r="E28" s="38">
        <f>IF(Ampacity!I$5="1000",1000000,0)</f>
        <v>0</v>
      </c>
      <c r="F28" s="38">
        <f>IF(Ampacity!J$5="1000",1000000,0)</f>
        <v>0</v>
      </c>
      <c r="G28" s="38">
        <f>IF(Ampacity!K$5="1000",1000000,0)</f>
        <v>0</v>
      </c>
      <c r="H28" s="38">
        <f>IF(Ampacity!L$5="1000",1000000,0)</f>
        <v>0</v>
      </c>
      <c r="I28" s="34">
        <f>IF(Ampacity!E9="1000",1000000,0)</f>
        <v>0</v>
      </c>
      <c r="J28" s="38">
        <f>IF(Ampacity!F9="1000",1000000,0)</f>
        <v>1000000</v>
      </c>
      <c r="K28" s="38">
        <f>IF(Ampacity!G9="1000",1000000,0)</f>
        <v>0</v>
      </c>
      <c r="L28" s="38">
        <f>IF(Ampacity!H9="1000",1000000,0)</f>
        <v>0</v>
      </c>
      <c r="M28" s="38">
        <f>IF(Ampacity!I9="1000",1000000,0)</f>
        <v>0</v>
      </c>
      <c r="N28" s="38">
        <f>IF(Ampacity!J9="1000",1000000,0)</f>
        <v>0</v>
      </c>
      <c r="O28" s="38">
        <f>IF(Ampacity!K9="1000",1000000,0)</f>
        <v>0</v>
      </c>
      <c r="P28" s="40">
        <f>IF(Ampacity!L9="1000",1000000,0)</f>
        <v>0</v>
      </c>
      <c r="R28" s="34">
        <f>IF(Ampacity!E28="1000",1000000,0)</f>
        <v>0</v>
      </c>
      <c r="S28" s="38">
        <f>IF(Ampacity!F28="1000",1000000,0)</f>
        <v>0</v>
      </c>
      <c r="T28" s="38">
        <f>IF(Ampacity!G28="1000",1000000,0)</f>
        <v>0</v>
      </c>
      <c r="U28" s="38">
        <f>IF(Ampacity!H28="1000",1000000,0)</f>
        <v>0</v>
      </c>
      <c r="V28" s="38">
        <f>IF(Ampacity!I28="1000",1000000,0)</f>
        <v>0</v>
      </c>
      <c r="W28" s="38">
        <f>IF(Ampacity!J28="1000",1000000,0)</f>
        <v>0</v>
      </c>
      <c r="X28" s="38">
        <f>IF(Ampacity!K28="1000",1000000,0)</f>
        <v>0</v>
      </c>
      <c r="Y28" s="38">
        <f>IF(Ampacity!L28="1000",1000000,0)</f>
        <v>0</v>
      </c>
      <c r="Z28" s="34">
        <f>IF(Ampacity!E32="1000",1000000,0)</f>
        <v>0</v>
      </c>
      <c r="AA28" s="38">
        <f>IF(Ampacity!F32="1000",1000000,0)</f>
        <v>0</v>
      </c>
      <c r="AB28" s="38">
        <f>IF(Ampacity!G32="1000",1000000,0)</f>
        <v>0</v>
      </c>
      <c r="AC28" s="38">
        <f>IF(Ampacity!H32="1000",1000000,0)</f>
        <v>0</v>
      </c>
      <c r="AD28" s="38">
        <f>IF(Ampacity!I32="1000",1000000,0)</f>
        <v>0</v>
      </c>
      <c r="AE28" s="38">
        <f>IF(Ampacity!J32="1000",1000000,0)</f>
        <v>0</v>
      </c>
      <c r="AF28" s="38">
        <f>IF(Ampacity!K32="1000",1000000,0)</f>
        <v>0</v>
      </c>
      <c r="AG28" s="40">
        <f>IF(Ampacity!L32="1000",1000000,0)</f>
        <v>0</v>
      </c>
      <c r="AI28" s="34">
        <f>IF(Ampacity!N5="1000",1000000,0)</f>
        <v>0</v>
      </c>
      <c r="AJ28" s="38">
        <f>IF(Ampacity!O5="1000",1000000,0)</f>
        <v>0</v>
      </c>
      <c r="AK28" s="38">
        <f>IF(Ampacity!P5="1000",1000000,0)</f>
        <v>0</v>
      </c>
      <c r="AL28" s="38">
        <f>IF(Ampacity!Q5="1000",1000000,0)</f>
        <v>0</v>
      </c>
      <c r="AM28" s="38">
        <f>IF(Ampacity!R5="1000",1000000,0)</f>
        <v>0</v>
      </c>
      <c r="AN28" s="38">
        <f>IF(Ampacity!S5="1000",1000000,0)</f>
        <v>0</v>
      </c>
      <c r="AO28" s="38">
        <f>IF(Ampacity!T5="1000",1000000,0)</f>
        <v>0</v>
      </c>
      <c r="AP28" s="40">
        <f>IF(Ampacity!U5="1000",1000000,0)</f>
        <v>0</v>
      </c>
      <c r="AR28" s="34">
        <f>IF(Ampacity!N28="1000",1000000,0)</f>
        <v>0</v>
      </c>
      <c r="AS28" s="38">
        <f>IF(Ampacity!O28="1000",1000000,0)</f>
        <v>0</v>
      </c>
      <c r="AT28" s="38">
        <f>IF(Ampacity!P28="1000",1000000,0)</f>
        <v>1000000</v>
      </c>
      <c r="AU28" s="38">
        <f>IF(Ampacity!Q28="1000",1000000,0)</f>
        <v>0</v>
      </c>
      <c r="AV28" s="38">
        <f>IF(Ampacity!R28="1000",1000000,0)</f>
        <v>0</v>
      </c>
      <c r="AW28" s="38">
        <f>IF(Ampacity!S28="1000",1000000,0)</f>
        <v>0</v>
      </c>
      <c r="AX28" s="38">
        <f>IF(Ampacity!T28="1000",1000000,0)</f>
        <v>0</v>
      </c>
      <c r="AY28" s="40">
        <f>IF(Ampacity!U28="1000",1000000,0)</f>
        <v>0</v>
      </c>
    </row>
    <row r="29" spans="1:51">
      <c r="A29" s="34">
        <f>IF(Ampacity!E$5="1250",1250000,0)</f>
        <v>0</v>
      </c>
      <c r="B29" s="38">
        <f>IF(Ampacity!F$5="1250",1250000,0)</f>
        <v>0</v>
      </c>
      <c r="C29" s="38">
        <f>IF(Ampacity!G$5="1250",1250000,0)</f>
        <v>0</v>
      </c>
      <c r="D29" s="38">
        <f>IF(Ampacity!H$5="1250",1250000,0)</f>
        <v>0</v>
      </c>
      <c r="E29" s="38">
        <f>IF(Ampacity!I$5="1250",1250000,0)</f>
        <v>0</v>
      </c>
      <c r="F29" s="38">
        <f>IF(Ampacity!J$5="1250",1250000,0)</f>
        <v>0</v>
      </c>
      <c r="G29" s="38">
        <f>IF(Ampacity!K$5="1250",1250000,0)</f>
        <v>0</v>
      </c>
      <c r="H29" s="38">
        <f>IF(Ampacity!L$5="1250",1250000,0)</f>
        <v>0</v>
      </c>
      <c r="I29" s="34">
        <f>IF(Ampacity!E9="1250",1250000,0)</f>
        <v>0</v>
      </c>
      <c r="J29" s="38">
        <f>IF(Ampacity!F9="1250",1250000,0)</f>
        <v>0</v>
      </c>
      <c r="K29" s="38">
        <f>IF(Ampacity!G9="1250",1250000,0)</f>
        <v>0</v>
      </c>
      <c r="L29" s="38">
        <f>IF(Ampacity!H9="1250",1250000,0)</f>
        <v>0</v>
      </c>
      <c r="M29" s="38">
        <f>IF(Ampacity!I9="1250",1250000,0)</f>
        <v>0</v>
      </c>
      <c r="N29" s="38">
        <f>IF(Ampacity!J9="1250",1250000,0)</f>
        <v>0</v>
      </c>
      <c r="O29" s="38">
        <f>IF(Ampacity!K9="1250",1250000,0)</f>
        <v>0</v>
      </c>
      <c r="P29" s="40">
        <f>IF(Ampacity!L9="1250",1250000,0)</f>
        <v>0</v>
      </c>
      <c r="R29" s="34">
        <f>IF(Ampacity!E28="1250",1250000,0)</f>
        <v>0</v>
      </c>
      <c r="S29" s="38">
        <f>IF(Ampacity!F28="1250",1250000,0)</f>
        <v>0</v>
      </c>
      <c r="T29" s="38">
        <f>IF(Ampacity!G28="1250",1250000,0)</f>
        <v>0</v>
      </c>
      <c r="U29" s="38">
        <f>IF(Ampacity!H28="1250",1250000,0)</f>
        <v>0</v>
      </c>
      <c r="V29" s="38">
        <f>IF(Ampacity!I28="1250",1250000,0)</f>
        <v>0</v>
      </c>
      <c r="W29" s="38">
        <f>IF(Ampacity!J28="1250",1250000,0)</f>
        <v>0</v>
      </c>
      <c r="X29" s="38">
        <f>IF(Ampacity!K28="1250",1250000,0)</f>
        <v>0</v>
      </c>
      <c r="Y29" s="38">
        <f>IF(Ampacity!L28="1250",1250000,0)</f>
        <v>0</v>
      </c>
      <c r="Z29" s="34">
        <f>IF(Ampacity!E32="1250",1250000,0)</f>
        <v>0</v>
      </c>
      <c r="AA29" s="38">
        <f>IF(Ampacity!F32="1250",1250000,0)</f>
        <v>0</v>
      </c>
      <c r="AB29" s="38">
        <f>IF(Ampacity!G32="1250",1250000,0)</f>
        <v>0</v>
      </c>
      <c r="AC29" s="38">
        <f>IF(Ampacity!H32="1250",1250000,0)</f>
        <v>0</v>
      </c>
      <c r="AD29" s="38">
        <f>IF(Ampacity!I32="1250",1250000,0)</f>
        <v>0</v>
      </c>
      <c r="AE29" s="38">
        <f>IF(Ampacity!J32="1250",1250000,0)</f>
        <v>0</v>
      </c>
      <c r="AF29" s="38">
        <f>IF(Ampacity!K32="1250",1250000,0)</f>
        <v>0</v>
      </c>
      <c r="AG29" s="40">
        <f>IF(Ampacity!L32="1250",1250000,0)</f>
        <v>0</v>
      </c>
      <c r="AI29" s="34">
        <f>IF(Ampacity!N5="1250",1250000,0)</f>
        <v>0</v>
      </c>
      <c r="AJ29" s="38">
        <f>IF(Ampacity!O5="1250",1250000,0)</f>
        <v>0</v>
      </c>
      <c r="AK29" s="38">
        <f>IF(Ampacity!P5="1250",1250000,0)</f>
        <v>0</v>
      </c>
      <c r="AL29" s="38">
        <f>IF(Ampacity!Q5="1250",1250000,0)</f>
        <v>0</v>
      </c>
      <c r="AM29" s="38">
        <f>IF(Ampacity!R5="1250",1250000,0)</f>
        <v>0</v>
      </c>
      <c r="AN29" s="38">
        <f>IF(Ampacity!S5="1250",1250000,0)</f>
        <v>0</v>
      </c>
      <c r="AO29" s="38">
        <f>IF(Ampacity!T5="1250",1250000,0)</f>
        <v>0</v>
      </c>
      <c r="AP29" s="40">
        <f>IF(Ampacity!U5="1250",1250000,0)</f>
        <v>0</v>
      </c>
      <c r="AR29" s="34">
        <f>IF(Ampacity!N28="1250",1250000,0)</f>
        <v>0</v>
      </c>
      <c r="AS29" s="38">
        <f>IF(Ampacity!O28="1250",1250000,0)</f>
        <v>0</v>
      </c>
      <c r="AT29" s="38">
        <f>IF(Ampacity!P28="1250",1250000,0)</f>
        <v>0</v>
      </c>
      <c r="AU29" s="38">
        <f>IF(Ampacity!Q28="1250",1250000,0)</f>
        <v>0</v>
      </c>
      <c r="AV29" s="38">
        <f>IF(Ampacity!R28="1250",1250000,0)</f>
        <v>0</v>
      </c>
      <c r="AW29" s="38">
        <f>IF(Ampacity!S28="1250",1250000,0)</f>
        <v>0</v>
      </c>
      <c r="AX29" s="38">
        <f>IF(Ampacity!T28="1250",1250000,0)</f>
        <v>0</v>
      </c>
      <c r="AY29" s="40">
        <f>IF(Ampacity!U28="1250",1250000,0)</f>
        <v>0</v>
      </c>
    </row>
    <row r="30" spans="1:51">
      <c r="A30" s="34">
        <f>IF(Ampacity!E$5="1500",1500000,0)</f>
        <v>0</v>
      </c>
      <c r="B30" s="38">
        <f>IF(Ampacity!F$5="1500",1500000,0)</f>
        <v>1500000</v>
      </c>
      <c r="C30" s="38">
        <f>IF(Ampacity!G$5="1500",1500000,0)</f>
        <v>0</v>
      </c>
      <c r="D30" s="38">
        <f>IF(Ampacity!H$5="1500",1500000,0)</f>
        <v>0</v>
      </c>
      <c r="E30" s="38">
        <f>IF(Ampacity!I$5="1500",1500000,0)</f>
        <v>0</v>
      </c>
      <c r="F30" s="38">
        <f>IF(Ampacity!J$5="1500",1500000,0)</f>
        <v>0</v>
      </c>
      <c r="G30" s="38">
        <f>IF(Ampacity!K$5="1500",1500000,0)</f>
        <v>0</v>
      </c>
      <c r="H30" s="38">
        <f>IF(Ampacity!L$5="1500",1500000,0)</f>
        <v>0</v>
      </c>
      <c r="I30" s="34">
        <f>IF(Ampacity!E9="1500",1500000,0)</f>
        <v>0</v>
      </c>
      <c r="J30" s="38">
        <f>IF(Ampacity!F9="1500",1500000,0)</f>
        <v>0</v>
      </c>
      <c r="K30" s="38">
        <f>IF(Ampacity!G9="1500",1500000,0)</f>
        <v>0</v>
      </c>
      <c r="L30" s="38">
        <f>IF(Ampacity!H9="1500",1500000,0)</f>
        <v>0</v>
      </c>
      <c r="M30" s="38">
        <f>IF(Ampacity!I9="1500",1500000,0)</f>
        <v>0</v>
      </c>
      <c r="N30" s="38">
        <f>IF(Ampacity!J9="1500",1500000,0)</f>
        <v>0</v>
      </c>
      <c r="O30" s="38">
        <f>IF(Ampacity!K9="1500",1500000,0)</f>
        <v>0</v>
      </c>
      <c r="P30" s="40">
        <f>IF(Ampacity!L9="1500",1500000,0)</f>
        <v>0</v>
      </c>
      <c r="R30" s="34">
        <f>IF(Ampacity!E28="1500",1500000,0)</f>
        <v>0</v>
      </c>
      <c r="S30" s="38">
        <f>IF(Ampacity!F28="1500",1500000,0)</f>
        <v>0</v>
      </c>
      <c r="T30" s="38">
        <f>IF(Ampacity!G28="1500",1500000,0)</f>
        <v>0</v>
      </c>
      <c r="U30" s="38">
        <f>IF(Ampacity!H28="1500",1500000,0)</f>
        <v>0</v>
      </c>
      <c r="V30" s="38">
        <f>IF(Ampacity!I28="1500",1500000,0)</f>
        <v>0</v>
      </c>
      <c r="W30" s="38">
        <f>IF(Ampacity!J28="1500",1500000,0)</f>
        <v>0</v>
      </c>
      <c r="X30" s="38">
        <f>IF(Ampacity!K28="1500",1500000,0)</f>
        <v>0</v>
      </c>
      <c r="Y30" s="38">
        <f>IF(Ampacity!L28="1500",1500000,0)</f>
        <v>0</v>
      </c>
      <c r="Z30" s="34">
        <f>IF(Ampacity!E32="1500",1500000,0)</f>
        <v>0</v>
      </c>
      <c r="AA30" s="38">
        <f>IF(Ampacity!F32="1500",1500000,0)</f>
        <v>0</v>
      </c>
      <c r="AB30" s="38">
        <f>IF(Ampacity!G32="1500",1500000,0)</f>
        <v>0</v>
      </c>
      <c r="AC30" s="38">
        <f>IF(Ampacity!H32="1500",1500000,0)</f>
        <v>0</v>
      </c>
      <c r="AD30" s="38">
        <f>IF(Ampacity!I32="1500",1500000,0)</f>
        <v>0</v>
      </c>
      <c r="AE30" s="38">
        <f>IF(Ampacity!J32="1500",1500000,0)</f>
        <v>0</v>
      </c>
      <c r="AF30" s="38">
        <f>IF(Ampacity!K32="1500",1500000,0)</f>
        <v>0</v>
      </c>
      <c r="AG30" s="40">
        <f>IF(Ampacity!L32="1500",1500000,0)</f>
        <v>0</v>
      </c>
      <c r="AI30" s="34">
        <f>IF(Ampacity!N5="1500",1500000,0)</f>
        <v>0</v>
      </c>
      <c r="AJ30" s="38">
        <f>IF(Ampacity!O5="1500",1500000,0)</f>
        <v>0</v>
      </c>
      <c r="AK30" s="38">
        <f>IF(Ampacity!P5="1500",1500000,0)</f>
        <v>0</v>
      </c>
      <c r="AL30" s="38">
        <f>IF(Ampacity!Q5="1500",1500000,0)</f>
        <v>0</v>
      </c>
      <c r="AM30" s="38">
        <f>IF(Ampacity!R5="1500",1500000,0)</f>
        <v>0</v>
      </c>
      <c r="AN30" s="38">
        <f>IF(Ampacity!S5="1500",1500000,0)</f>
        <v>0</v>
      </c>
      <c r="AO30" s="38">
        <f>IF(Ampacity!T5="1500",1500000,0)</f>
        <v>0</v>
      </c>
      <c r="AP30" s="40">
        <f>IF(Ampacity!U5="1500",1500000,0)</f>
        <v>0</v>
      </c>
      <c r="AR30" s="34">
        <f>IF(Ampacity!N28="1500",1500000,0)</f>
        <v>0</v>
      </c>
      <c r="AS30" s="38">
        <f>IF(Ampacity!O28="1500",1500000,0)</f>
        <v>0</v>
      </c>
      <c r="AT30" s="38">
        <f>IF(Ampacity!P28="1500",1500000,0)</f>
        <v>0</v>
      </c>
      <c r="AU30" s="38">
        <f>IF(Ampacity!Q28="1500",1500000,0)</f>
        <v>0</v>
      </c>
      <c r="AV30" s="38">
        <f>IF(Ampacity!R28="1500",1500000,0)</f>
        <v>0</v>
      </c>
      <c r="AW30" s="38">
        <f>IF(Ampacity!S28="1500",1500000,0)</f>
        <v>0</v>
      </c>
      <c r="AX30" s="38">
        <f>IF(Ampacity!T28="1500",1500000,0)</f>
        <v>0</v>
      </c>
      <c r="AY30" s="40">
        <f>IF(Ampacity!U28="1500",1500000,0)</f>
        <v>0</v>
      </c>
    </row>
    <row r="31" spans="1:51">
      <c r="A31" s="34">
        <f>IF(Ampacity!E$5="1750",1750000,0)</f>
        <v>0</v>
      </c>
      <c r="B31" s="38">
        <f>IF(Ampacity!F$5="1750",1750000,0)</f>
        <v>0</v>
      </c>
      <c r="C31" s="38">
        <f>IF(Ampacity!G$5="1750",1750000,0)</f>
        <v>0</v>
      </c>
      <c r="D31" s="38">
        <f>IF(Ampacity!H$5="1750",1750000,0)</f>
        <v>0</v>
      </c>
      <c r="E31" s="38">
        <f>IF(Ampacity!I$5="1750",1750000,0)</f>
        <v>0</v>
      </c>
      <c r="F31" s="38">
        <f>IF(Ampacity!J$5="1750",1750000,0)</f>
        <v>0</v>
      </c>
      <c r="G31" s="38">
        <f>IF(Ampacity!K$5="1750",1750000,0)</f>
        <v>0</v>
      </c>
      <c r="H31" s="38">
        <f>IF(Ampacity!L$5="1750",1750000,0)</f>
        <v>0</v>
      </c>
      <c r="I31" s="34">
        <f>IF(Ampacity!E9="1750",1750000,0)</f>
        <v>0</v>
      </c>
      <c r="J31" s="38">
        <f>IF(Ampacity!F9="1750",1750000,0)</f>
        <v>0</v>
      </c>
      <c r="K31" s="38">
        <f>IF(Ampacity!G9="1750",1750000,0)</f>
        <v>0</v>
      </c>
      <c r="L31" s="38">
        <f>IF(Ampacity!H9="1750",1750000,0)</f>
        <v>0</v>
      </c>
      <c r="M31" s="38">
        <f>IF(Ampacity!I9="1750",1750000,0)</f>
        <v>0</v>
      </c>
      <c r="N31" s="38">
        <f>IF(Ampacity!J9="1750",1750000,0)</f>
        <v>0</v>
      </c>
      <c r="O31" s="38">
        <f>IF(Ampacity!K9="1750",1750000,0)</f>
        <v>0</v>
      </c>
      <c r="P31" s="40">
        <f>IF(Ampacity!L9="1750",1750000,0)</f>
        <v>0</v>
      </c>
      <c r="R31" s="34">
        <f>IF(Ampacity!E28="1750",1750000,0)</f>
        <v>0</v>
      </c>
      <c r="S31" s="38">
        <f>IF(Ampacity!F28="1750",1750000,0)</f>
        <v>0</v>
      </c>
      <c r="T31" s="38">
        <f>IF(Ampacity!G28="1750",1750000,0)</f>
        <v>0</v>
      </c>
      <c r="U31" s="38">
        <f>IF(Ampacity!H28="1750",1750000,0)</f>
        <v>0</v>
      </c>
      <c r="V31" s="38">
        <f>IF(Ampacity!I28="1750",1750000,0)</f>
        <v>0</v>
      </c>
      <c r="W31" s="38">
        <f>IF(Ampacity!J28="1750",1750000,0)</f>
        <v>0</v>
      </c>
      <c r="X31" s="38">
        <f>IF(Ampacity!K28="1750",1750000,0)</f>
        <v>0</v>
      </c>
      <c r="Y31" s="38">
        <f>IF(Ampacity!L28="1750",1750000,0)</f>
        <v>0</v>
      </c>
      <c r="Z31" s="34">
        <f>IF(Ampacity!E32="1750",1750000,0)</f>
        <v>0</v>
      </c>
      <c r="AA31" s="38">
        <f>IF(Ampacity!F32="1750",1750000,0)</f>
        <v>1750000</v>
      </c>
      <c r="AB31" s="38">
        <f>IF(Ampacity!G32="1750",1750000,0)</f>
        <v>0</v>
      </c>
      <c r="AC31" s="38">
        <f>IF(Ampacity!H32="1750",1750000,0)</f>
        <v>0</v>
      </c>
      <c r="AD31" s="38">
        <f>IF(Ampacity!I32="1750",1750000,0)</f>
        <v>0</v>
      </c>
      <c r="AE31" s="38">
        <f>IF(Ampacity!J32="1750",1750000,0)</f>
        <v>0</v>
      </c>
      <c r="AF31" s="38">
        <f>IF(Ampacity!K32="1750",1750000,0)</f>
        <v>0</v>
      </c>
      <c r="AG31" s="40">
        <f>IF(Ampacity!L32="1750",1750000,0)</f>
        <v>0</v>
      </c>
      <c r="AI31" s="34">
        <f>IF(Ampacity!N5="1750",1750000,0)</f>
        <v>0</v>
      </c>
      <c r="AJ31" s="38">
        <f>IF(Ampacity!O5="1750",1750000,0)</f>
        <v>0</v>
      </c>
      <c r="AK31" s="38">
        <f>IF(Ampacity!P5="1750",1750000,0)</f>
        <v>0</v>
      </c>
      <c r="AL31" s="38">
        <f>IF(Ampacity!Q5="1750",1750000,0)</f>
        <v>0</v>
      </c>
      <c r="AM31" s="38">
        <f>IF(Ampacity!R5="1750",1750000,0)</f>
        <v>0</v>
      </c>
      <c r="AN31" s="38">
        <f>IF(Ampacity!S5="1750",1750000,0)</f>
        <v>0</v>
      </c>
      <c r="AO31" s="38">
        <f>IF(Ampacity!T5="1750",1750000,0)</f>
        <v>0</v>
      </c>
      <c r="AP31" s="40">
        <f>IF(Ampacity!U5="1750",1750000,0)</f>
        <v>0</v>
      </c>
      <c r="AR31" s="34">
        <f>IF(Ampacity!N28="1750",1750000,0)</f>
        <v>0</v>
      </c>
      <c r="AS31" s="38">
        <f>IF(Ampacity!O28="1750",1750000,0)</f>
        <v>0</v>
      </c>
      <c r="AT31" s="38">
        <f>IF(Ampacity!P28="1750",1750000,0)</f>
        <v>0</v>
      </c>
      <c r="AU31" s="38">
        <f>IF(Ampacity!Q28="1750",1750000,0)</f>
        <v>0</v>
      </c>
      <c r="AV31" s="38">
        <f>IF(Ampacity!R28="1750",1750000,0)</f>
        <v>0</v>
      </c>
      <c r="AW31" s="38">
        <f>IF(Ampacity!S28="1750",1750000,0)</f>
        <v>0</v>
      </c>
      <c r="AX31" s="38">
        <f>IF(Ampacity!T28="1750",1750000,0)</f>
        <v>0</v>
      </c>
      <c r="AY31" s="40">
        <f>IF(Ampacity!U28="1750",1750000,0)</f>
        <v>0</v>
      </c>
    </row>
    <row r="32" spans="1:51" ht="16" thickBot="1">
      <c r="A32" s="35">
        <f>IF(Ampacity!E$5="2000",2000000,0)</f>
        <v>0</v>
      </c>
      <c r="B32" s="39">
        <f>IF(Ampacity!F$5="2000",2000000,0)</f>
        <v>0</v>
      </c>
      <c r="C32" s="39">
        <f>IF(Ampacity!G$5="2000",2000000,0)</f>
        <v>0</v>
      </c>
      <c r="D32" s="39">
        <f>IF(Ampacity!H$5="2000",2000000,0)</f>
        <v>0</v>
      </c>
      <c r="E32" s="39">
        <f>IF(Ampacity!I$5="2000",2000000,0)</f>
        <v>0</v>
      </c>
      <c r="F32" s="39">
        <f>IF(Ampacity!J$5="2000",2000000,0)</f>
        <v>0</v>
      </c>
      <c r="G32" s="39">
        <f>IF(Ampacity!K$5="2000",2000000,0)</f>
        <v>0</v>
      </c>
      <c r="H32" s="39">
        <f>IF(Ampacity!L$5="2000",2000000,0)</f>
        <v>0</v>
      </c>
      <c r="I32" s="35">
        <f>IF(Ampacity!E9="2000",2000000,0)</f>
        <v>0</v>
      </c>
      <c r="J32" s="39">
        <f>IF(Ampacity!F9="2000",2000000,0)</f>
        <v>0</v>
      </c>
      <c r="K32" s="39">
        <f>IF(Ampacity!G9="2000",2000000,0)</f>
        <v>0</v>
      </c>
      <c r="L32" s="39">
        <f>IF(Ampacity!H9="2000",2000000,0)</f>
        <v>0</v>
      </c>
      <c r="M32" s="39">
        <f>IF(Ampacity!I9="2000",2000000,0)</f>
        <v>0</v>
      </c>
      <c r="N32" s="39">
        <f>IF(Ampacity!J9="2000",2000000,0)</f>
        <v>0</v>
      </c>
      <c r="O32" s="39">
        <f>IF(Ampacity!K9="2000",2000000,0)</f>
        <v>0</v>
      </c>
      <c r="P32" s="43">
        <f>IF(Ampacity!L9="2000",2000000,0)</f>
        <v>0</v>
      </c>
      <c r="R32" s="35">
        <f>IF(Ampacity!E28="2000",2000000,0)</f>
        <v>0</v>
      </c>
      <c r="S32" s="39">
        <f>IF(Ampacity!F28="2000",2000000,0)</f>
        <v>0</v>
      </c>
      <c r="T32" s="39">
        <f>IF(Ampacity!G28="2000",2000000,0)</f>
        <v>0</v>
      </c>
      <c r="U32" s="39">
        <f>IF(Ampacity!H28="2000",2000000,0)</f>
        <v>0</v>
      </c>
      <c r="V32" s="39">
        <f>IF(Ampacity!I28="2000",2000000,0)</f>
        <v>0</v>
      </c>
      <c r="W32" s="39">
        <f>IF(Ampacity!J28="2000",2000000,0)</f>
        <v>0</v>
      </c>
      <c r="X32" s="39">
        <f>IF(Ampacity!K28="2000",2000000,0)</f>
        <v>0</v>
      </c>
      <c r="Y32" s="39">
        <f>IF(Ampacity!L28="2000",2000000,0)</f>
        <v>0</v>
      </c>
      <c r="Z32" s="35">
        <f>IF(Ampacity!E32="2000",2000000,0)</f>
        <v>0</v>
      </c>
      <c r="AA32" s="39">
        <f>IF(Ampacity!F32="2000",2000000,0)</f>
        <v>0</v>
      </c>
      <c r="AB32" s="39">
        <f>IF(Ampacity!G32="2000",2000000,0)</f>
        <v>0</v>
      </c>
      <c r="AC32" s="39">
        <f>IF(Ampacity!H32="2000",2000000,0)</f>
        <v>0</v>
      </c>
      <c r="AD32" s="39">
        <f>IF(Ampacity!I32="2000",2000000,0)</f>
        <v>0</v>
      </c>
      <c r="AE32" s="39">
        <f>IF(Ampacity!J32="2000",2000000,0)</f>
        <v>0</v>
      </c>
      <c r="AF32" s="39">
        <f>IF(Ampacity!K32="2000",2000000,0)</f>
        <v>0</v>
      </c>
      <c r="AG32" s="43">
        <f>IF(Ampacity!L32="2000",2000000,0)</f>
        <v>0</v>
      </c>
      <c r="AI32" s="35">
        <f>IF(Ampacity!N5="2000",2000000,0)</f>
        <v>0</v>
      </c>
      <c r="AJ32" s="39">
        <f>IF(Ampacity!O5="2000",2000000,0)</f>
        <v>0</v>
      </c>
      <c r="AK32" s="39">
        <f>IF(Ampacity!P5="2000",2000000,0)</f>
        <v>0</v>
      </c>
      <c r="AL32" s="39">
        <f>IF(Ampacity!Q5="2000",2000000,0)</f>
        <v>0</v>
      </c>
      <c r="AM32" s="39">
        <f>IF(Ampacity!R5="2000",2000000,0)</f>
        <v>0</v>
      </c>
      <c r="AN32" s="39">
        <f>IF(Ampacity!S5="2000",2000000,0)</f>
        <v>0</v>
      </c>
      <c r="AO32" s="39">
        <f>IF(Ampacity!T5="2000",2000000,0)</f>
        <v>0</v>
      </c>
      <c r="AP32" s="43">
        <f>IF(Ampacity!U5="2000",2000000,0)</f>
        <v>0</v>
      </c>
      <c r="AR32" s="35">
        <f>IF(Ampacity!N28="2000",2000000,0)</f>
        <v>0</v>
      </c>
      <c r="AS32" s="39">
        <f>IF(Ampacity!O28="2000",2000000,0)</f>
        <v>0</v>
      </c>
      <c r="AT32" s="39">
        <f>IF(Ampacity!P28="2000",2000000,0)</f>
        <v>0</v>
      </c>
      <c r="AU32" s="39">
        <f>IF(Ampacity!Q28="2000",2000000,0)</f>
        <v>0</v>
      </c>
      <c r="AV32" s="39">
        <f>IF(Ampacity!R28="2000",2000000,0)</f>
        <v>0</v>
      </c>
      <c r="AW32" s="39">
        <f>IF(Ampacity!S28="2000",2000000,0)</f>
        <v>0</v>
      </c>
      <c r="AX32" s="39">
        <f>IF(Ampacity!T28="2000",2000000,0)</f>
        <v>0</v>
      </c>
      <c r="AY32" s="43">
        <f>IF(Ampacity!U28="2000",2000000,0)</f>
        <v>0</v>
      </c>
    </row>
    <row r="33" spans="1:19">
      <c r="O33" s="29"/>
      <c r="P33" s="29"/>
      <c r="Q33" s="29"/>
      <c r="R33" s="38"/>
      <c r="S33" s="38"/>
    </row>
    <row r="35" spans="1:19">
      <c r="A35" s="1">
        <v>14</v>
      </c>
      <c r="B35" s="24">
        <v>4110</v>
      </c>
    </row>
    <row r="36" spans="1:19">
      <c r="A36" s="1">
        <v>12</v>
      </c>
      <c r="B36" s="24">
        <v>6530</v>
      </c>
    </row>
    <row r="37" spans="1:19">
      <c r="A37" s="31">
        <v>10</v>
      </c>
      <c r="B37" s="24">
        <v>10380</v>
      </c>
    </row>
    <row r="38" spans="1:19">
      <c r="A38" s="31">
        <v>8</v>
      </c>
      <c r="B38" s="24">
        <v>16510</v>
      </c>
    </row>
    <row r="39" spans="1:19">
      <c r="A39" s="31">
        <v>6</v>
      </c>
      <c r="B39" s="24">
        <v>26240</v>
      </c>
    </row>
    <row r="40" spans="1:19">
      <c r="A40" s="31">
        <v>4</v>
      </c>
      <c r="B40" s="24">
        <v>41740</v>
      </c>
    </row>
    <row r="41" spans="1:19">
      <c r="A41" s="31">
        <v>3</v>
      </c>
      <c r="B41" s="24">
        <v>52620</v>
      </c>
    </row>
    <row r="42" spans="1:19">
      <c r="A42" s="31">
        <v>2</v>
      </c>
      <c r="B42" s="24">
        <v>66360</v>
      </c>
    </row>
    <row r="43" spans="1:19">
      <c r="A43" s="31">
        <v>1</v>
      </c>
      <c r="B43" s="24">
        <v>83690</v>
      </c>
    </row>
    <row r="44" spans="1:19">
      <c r="A44" s="37" t="s">
        <v>4</v>
      </c>
      <c r="B44" s="24">
        <v>105600</v>
      </c>
    </row>
    <row r="45" spans="1:19">
      <c r="A45" s="37" t="s">
        <v>5</v>
      </c>
      <c r="B45" s="24">
        <v>133100</v>
      </c>
    </row>
    <row r="46" spans="1:19">
      <c r="A46" s="37" t="s">
        <v>6</v>
      </c>
      <c r="B46" s="24">
        <v>167800</v>
      </c>
    </row>
    <row r="47" spans="1:19">
      <c r="A47" s="37" t="s">
        <v>7</v>
      </c>
      <c r="B47" s="24">
        <v>211600</v>
      </c>
    </row>
    <row r="48" spans="1:19">
      <c r="A48" s="24" t="s">
        <v>10</v>
      </c>
      <c r="B48" s="24">
        <v>250000</v>
      </c>
    </row>
    <row r="49" spans="1:2">
      <c r="A49" s="24" t="s">
        <v>11</v>
      </c>
      <c r="B49" s="24">
        <v>300000</v>
      </c>
    </row>
    <row r="50" spans="1:2">
      <c r="A50" s="24" t="s">
        <v>12</v>
      </c>
      <c r="B50" s="24">
        <v>350000</v>
      </c>
    </row>
    <row r="51" spans="1:2">
      <c r="A51" s="24" t="s">
        <v>13</v>
      </c>
      <c r="B51" s="24">
        <v>400000</v>
      </c>
    </row>
    <row r="52" spans="1:2">
      <c r="A52" s="24" t="s">
        <v>14</v>
      </c>
      <c r="B52" s="24">
        <v>500000</v>
      </c>
    </row>
    <row r="53" spans="1:2">
      <c r="A53" s="24" t="s">
        <v>15</v>
      </c>
      <c r="B53" s="24">
        <v>600000</v>
      </c>
    </row>
    <row r="54" spans="1:2">
      <c r="A54" s="24" t="s">
        <v>16</v>
      </c>
      <c r="B54" s="24">
        <v>700000</v>
      </c>
    </row>
    <row r="55" spans="1:2">
      <c r="A55" s="24" t="s">
        <v>17</v>
      </c>
      <c r="B55" s="24">
        <v>750000</v>
      </c>
    </row>
    <row r="56" spans="1:2">
      <c r="A56" s="24" t="s">
        <v>18</v>
      </c>
      <c r="B56" s="24">
        <v>800000</v>
      </c>
    </row>
    <row r="57" spans="1:2">
      <c r="A57" s="24" t="s">
        <v>19</v>
      </c>
      <c r="B57" s="24">
        <v>900000</v>
      </c>
    </row>
    <row r="58" spans="1:2">
      <c r="A58" s="24" t="s">
        <v>20</v>
      </c>
      <c r="B58" s="24">
        <v>100000</v>
      </c>
    </row>
    <row r="59" spans="1:2">
      <c r="A59" s="24" t="s">
        <v>21</v>
      </c>
      <c r="B59" s="24">
        <v>1250000</v>
      </c>
    </row>
    <row r="60" spans="1:2">
      <c r="A60" s="24" t="s">
        <v>22</v>
      </c>
      <c r="B60" s="24">
        <v>1500000</v>
      </c>
    </row>
    <row r="61" spans="1:2">
      <c r="A61" s="24" t="s">
        <v>23</v>
      </c>
      <c r="B61" s="24">
        <v>1750000</v>
      </c>
    </row>
    <row r="62" spans="1:2">
      <c r="A62" s="24" t="s">
        <v>24</v>
      </c>
      <c r="B62" s="24">
        <v>2000000</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4"/>
  <sheetViews>
    <sheetView workbookViewId="0">
      <selection activeCell="D35" sqref="D35"/>
    </sheetView>
  </sheetViews>
  <sheetFormatPr baseColWidth="10" defaultRowHeight="15" x14ac:dyDescent="0"/>
  <cols>
    <col min="1" max="1" width="4.85546875" bestFit="1" customWidth="1"/>
    <col min="3" max="15" width="10.7109375" style="1"/>
  </cols>
  <sheetData>
    <row r="2" spans="1:10" ht="16" thickBot="1"/>
    <row r="3" spans="1:10" ht="16" thickBot="1">
      <c r="C3" s="134" t="s">
        <v>115</v>
      </c>
      <c r="D3" s="135"/>
      <c r="E3" s="134" t="s">
        <v>116</v>
      </c>
      <c r="F3" s="136"/>
      <c r="G3" s="137"/>
      <c r="H3" s="134" t="s">
        <v>117</v>
      </c>
      <c r="I3" s="136"/>
      <c r="J3" s="137"/>
    </row>
    <row r="4" spans="1:10" ht="16" thickBot="1">
      <c r="A4" s="3" t="s">
        <v>27</v>
      </c>
      <c r="B4" s="73" t="s">
        <v>28</v>
      </c>
      <c r="C4" s="69" t="s">
        <v>114</v>
      </c>
      <c r="D4" s="72" t="s">
        <v>102</v>
      </c>
      <c r="E4" s="69" t="s">
        <v>109</v>
      </c>
      <c r="F4" s="70" t="s">
        <v>64</v>
      </c>
      <c r="G4" s="72" t="s">
        <v>102</v>
      </c>
      <c r="H4" s="69" t="s">
        <v>109</v>
      </c>
      <c r="I4" s="70" t="s">
        <v>64</v>
      </c>
      <c r="J4" s="71" t="s">
        <v>102</v>
      </c>
    </row>
    <row r="5" spans="1:10">
      <c r="A5" s="31">
        <v>14</v>
      </c>
      <c r="B5" s="77">
        <v>4110</v>
      </c>
      <c r="C5" s="44">
        <v>5.8000000000000003E-2</v>
      </c>
      <c r="D5" s="30">
        <v>7.2999999999999995E-2</v>
      </c>
      <c r="E5" s="44">
        <v>3.1</v>
      </c>
      <c r="F5" s="29">
        <v>3.1</v>
      </c>
      <c r="G5" s="30">
        <v>3.1</v>
      </c>
      <c r="H5" s="44"/>
      <c r="I5" s="29"/>
      <c r="J5" s="30"/>
    </row>
    <row r="6" spans="1:10">
      <c r="A6" s="31">
        <v>12</v>
      </c>
      <c r="B6" s="77">
        <v>6530</v>
      </c>
      <c r="C6" s="44">
        <v>5.3999999999999999E-2</v>
      </c>
      <c r="D6" s="30">
        <v>6.8000000000000005E-2</v>
      </c>
      <c r="E6" s="44">
        <v>2</v>
      </c>
      <c r="F6" s="29">
        <v>2</v>
      </c>
      <c r="G6" s="30">
        <v>2</v>
      </c>
      <c r="H6" s="44">
        <v>3.2</v>
      </c>
      <c r="I6" s="29">
        <v>3.2</v>
      </c>
      <c r="J6" s="30">
        <v>3.2</v>
      </c>
    </row>
    <row r="7" spans="1:10">
      <c r="A7" s="31">
        <v>10</v>
      </c>
      <c r="B7" s="77">
        <v>10380</v>
      </c>
      <c r="C7" s="44">
        <v>0.05</v>
      </c>
      <c r="D7" s="30">
        <v>6.3E-2</v>
      </c>
      <c r="E7" s="44">
        <v>1.2</v>
      </c>
      <c r="F7" s="29">
        <v>1.2</v>
      </c>
      <c r="G7" s="30">
        <v>1.2</v>
      </c>
      <c r="H7" s="44">
        <v>2</v>
      </c>
      <c r="I7" s="29">
        <v>2</v>
      </c>
      <c r="J7" s="30">
        <v>2</v>
      </c>
    </row>
    <row r="8" spans="1:10">
      <c r="A8" s="31">
        <v>8</v>
      </c>
      <c r="B8" s="77">
        <v>16510</v>
      </c>
      <c r="C8" s="44">
        <v>5.1999999999999998E-2</v>
      </c>
      <c r="D8" s="30">
        <v>6.5000000000000002E-2</v>
      </c>
      <c r="E8" s="44">
        <v>0.78</v>
      </c>
      <c r="F8" s="29">
        <v>0.78</v>
      </c>
      <c r="G8" s="30">
        <v>0.78</v>
      </c>
      <c r="H8" s="44">
        <v>1.3</v>
      </c>
      <c r="I8" s="29">
        <v>1.3</v>
      </c>
      <c r="J8" s="30">
        <v>1.3</v>
      </c>
    </row>
    <row r="9" spans="1:10">
      <c r="A9" s="31">
        <v>6</v>
      </c>
      <c r="B9" s="77">
        <v>26240</v>
      </c>
      <c r="C9" s="44">
        <v>5.0999999999999997E-2</v>
      </c>
      <c r="D9" s="30">
        <v>6.4000000000000001E-2</v>
      </c>
      <c r="E9" s="44">
        <v>0.49</v>
      </c>
      <c r="F9" s="29">
        <v>0.49</v>
      </c>
      <c r="G9" s="30">
        <v>0.49</v>
      </c>
      <c r="H9" s="44">
        <v>0.81</v>
      </c>
      <c r="I9" s="29">
        <v>0.81</v>
      </c>
      <c r="J9" s="30">
        <v>0.81</v>
      </c>
    </row>
    <row r="10" spans="1:10">
      <c r="A10" s="31">
        <v>4</v>
      </c>
      <c r="B10" s="77">
        <v>41740</v>
      </c>
      <c r="C10" s="44">
        <v>4.8000000000000001E-2</v>
      </c>
      <c r="D10" s="30">
        <v>0.06</v>
      </c>
      <c r="E10" s="44">
        <v>0.31</v>
      </c>
      <c r="F10" s="29">
        <v>0.31</v>
      </c>
      <c r="G10" s="30">
        <v>0.31</v>
      </c>
      <c r="H10" s="44">
        <v>0.51</v>
      </c>
      <c r="I10" s="29">
        <v>0.51</v>
      </c>
      <c r="J10" s="30">
        <v>0.51</v>
      </c>
    </row>
    <row r="11" spans="1:10">
      <c r="A11" s="31">
        <v>3</v>
      </c>
      <c r="B11" s="77">
        <v>52620</v>
      </c>
      <c r="C11" s="44">
        <v>4.7E-2</v>
      </c>
      <c r="D11" s="30">
        <v>5.8999999999999997E-2</v>
      </c>
      <c r="E11" s="44">
        <v>0.25</v>
      </c>
      <c r="F11" s="29">
        <v>0.25</v>
      </c>
      <c r="G11" s="30">
        <v>0.25</v>
      </c>
      <c r="H11" s="44">
        <v>0.4</v>
      </c>
      <c r="I11" s="29">
        <v>0.41</v>
      </c>
      <c r="J11" s="30">
        <v>0.4</v>
      </c>
    </row>
    <row r="12" spans="1:10">
      <c r="A12" s="31">
        <v>2</v>
      </c>
      <c r="B12" s="77">
        <v>66360</v>
      </c>
      <c r="C12" s="44">
        <v>4.4999999999999998E-2</v>
      </c>
      <c r="D12" s="30">
        <v>5.7000000000000002E-2</v>
      </c>
      <c r="E12" s="44">
        <v>0.19</v>
      </c>
      <c r="F12" s="29">
        <v>0.2</v>
      </c>
      <c r="G12" s="30">
        <v>0.2</v>
      </c>
      <c r="H12" s="44">
        <v>0.32</v>
      </c>
      <c r="I12" s="29">
        <v>0.32</v>
      </c>
      <c r="J12" s="30">
        <v>0.32</v>
      </c>
    </row>
    <row r="13" spans="1:10">
      <c r="A13" s="31">
        <v>1</v>
      </c>
      <c r="B13" s="77">
        <v>83690</v>
      </c>
      <c r="C13" s="44">
        <v>4.5999999999999999E-2</v>
      </c>
      <c r="D13" s="30">
        <v>5.7000000000000002E-2</v>
      </c>
      <c r="E13" s="44">
        <v>0.15</v>
      </c>
      <c r="F13" s="29">
        <v>0.16</v>
      </c>
      <c r="G13" s="30">
        <v>0.16</v>
      </c>
      <c r="H13" s="44">
        <v>0.25</v>
      </c>
      <c r="I13" s="29">
        <v>0.26</v>
      </c>
      <c r="J13" s="30">
        <v>0.25</v>
      </c>
    </row>
    <row r="14" spans="1:10">
      <c r="A14" s="7" t="s">
        <v>4</v>
      </c>
      <c r="B14" s="77">
        <v>105600</v>
      </c>
      <c r="C14" s="44">
        <v>4.3999999999999997E-2</v>
      </c>
      <c r="D14" s="30">
        <v>5.5E-2</v>
      </c>
      <c r="E14" s="44">
        <v>0.12</v>
      </c>
      <c r="F14" s="29">
        <v>0.13</v>
      </c>
      <c r="G14" s="30">
        <v>0.12</v>
      </c>
      <c r="H14" s="44">
        <v>0.2</v>
      </c>
      <c r="I14" s="29">
        <v>0.21</v>
      </c>
      <c r="J14" s="30">
        <v>0.2</v>
      </c>
    </row>
    <row r="15" spans="1:10">
      <c r="A15" s="7" t="s">
        <v>5</v>
      </c>
      <c r="B15" s="77">
        <v>133100</v>
      </c>
      <c r="C15" s="44">
        <v>4.2999999999999997E-2</v>
      </c>
      <c r="D15" s="30">
        <v>5.3999999999999999E-2</v>
      </c>
      <c r="E15" s="44">
        <v>0.1</v>
      </c>
      <c r="F15" s="29">
        <v>0.1</v>
      </c>
      <c r="G15" s="30">
        <v>0.1</v>
      </c>
      <c r="H15" s="44">
        <v>0.16</v>
      </c>
      <c r="I15" s="29">
        <v>0.16</v>
      </c>
      <c r="J15" s="30">
        <v>0.16</v>
      </c>
    </row>
    <row r="16" spans="1:10">
      <c r="A16" s="7" t="s">
        <v>6</v>
      </c>
      <c r="B16" s="77">
        <v>167800</v>
      </c>
      <c r="C16" s="44">
        <v>4.2000000000000003E-2</v>
      </c>
      <c r="D16" s="30">
        <v>5.1999999999999998E-2</v>
      </c>
      <c r="E16" s="44">
        <v>7.6999999999999999E-2</v>
      </c>
      <c r="F16" s="29">
        <v>8.2000000000000003E-2</v>
      </c>
      <c r="G16" s="30">
        <v>7.9000000000000001E-2</v>
      </c>
      <c r="H16" s="44">
        <v>0.13</v>
      </c>
      <c r="I16" s="29">
        <v>0.13</v>
      </c>
      <c r="J16" s="30">
        <v>0.13</v>
      </c>
    </row>
    <row r="17" spans="1:10">
      <c r="A17" s="7" t="s">
        <v>7</v>
      </c>
      <c r="B17" s="77">
        <v>211600</v>
      </c>
      <c r="C17" s="44">
        <v>4.1000000000000002E-2</v>
      </c>
      <c r="D17" s="30">
        <v>5.0999999999999997E-2</v>
      </c>
      <c r="E17" s="44">
        <v>6.2E-2</v>
      </c>
      <c r="F17" s="29">
        <v>6.7000000000000004E-2</v>
      </c>
      <c r="G17" s="30">
        <v>6.3E-2</v>
      </c>
      <c r="H17" s="44">
        <v>0.1</v>
      </c>
      <c r="I17" s="29">
        <v>0.11</v>
      </c>
      <c r="J17" s="30">
        <v>0.1</v>
      </c>
    </row>
    <row r="18" spans="1:10">
      <c r="A18" s="6" t="s">
        <v>10</v>
      </c>
      <c r="B18" s="77">
        <v>250000</v>
      </c>
      <c r="C18" s="44">
        <v>4.1000000000000002E-2</v>
      </c>
      <c r="D18" s="30">
        <v>5.1999999999999998E-2</v>
      </c>
      <c r="E18" s="44">
        <v>5.1999999999999998E-2</v>
      </c>
      <c r="F18" s="29">
        <v>5.7000000000000002E-2</v>
      </c>
      <c r="G18" s="30">
        <v>5.3999999999999999E-2</v>
      </c>
      <c r="H18" s="44">
        <v>8.5000000000000006E-2</v>
      </c>
      <c r="I18" s="29">
        <v>0.09</v>
      </c>
      <c r="J18" s="30">
        <v>8.5999999999999993E-2</v>
      </c>
    </row>
    <row r="19" spans="1:10">
      <c r="A19" s="6" t="s">
        <v>11</v>
      </c>
      <c r="B19" s="77">
        <v>300000</v>
      </c>
      <c r="C19" s="44">
        <v>4.1000000000000002E-2</v>
      </c>
      <c r="D19" s="30">
        <v>5.0999999999999997E-2</v>
      </c>
      <c r="E19" s="44">
        <v>4.3999999999999997E-2</v>
      </c>
      <c r="F19" s="29">
        <v>4.9000000000000002E-2</v>
      </c>
      <c r="G19" s="30">
        <v>4.4999999999999998E-2</v>
      </c>
      <c r="H19" s="44">
        <v>7.0999999999999994E-2</v>
      </c>
      <c r="I19" s="29">
        <v>7.5999999999999998E-2</v>
      </c>
      <c r="J19" s="30">
        <v>7.1999999999999995E-2</v>
      </c>
    </row>
    <row r="20" spans="1:10">
      <c r="A20" s="6" t="s">
        <v>12</v>
      </c>
      <c r="B20" s="77">
        <v>350000</v>
      </c>
      <c r="C20" s="44">
        <v>0.04</v>
      </c>
      <c r="D20" s="30">
        <v>0.05</v>
      </c>
      <c r="E20" s="44">
        <v>3.7999999999999999E-2</v>
      </c>
      <c r="F20" s="29">
        <v>4.2999999999999997E-2</v>
      </c>
      <c r="G20" s="30">
        <v>3.9E-2</v>
      </c>
      <c r="H20" s="44">
        <v>6.0999999999999999E-2</v>
      </c>
      <c r="I20" s="29">
        <v>6.6000000000000003E-2</v>
      </c>
      <c r="J20" s="30">
        <v>6.3E-2</v>
      </c>
    </row>
    <row r="21" spans="1:10">
      <c r="A21" s="6" t="s">
        <v>13</v>
      </c>
      <c r="B21" s="77">
        <v>400000</v>
      </c>
      <c r="C21" s="44">
        <v>0.04</v>
      </c>
      <c r="D21" s="30">
        <v>4.9000000000000002E-2</v>
      </c>
      <c r="E21" s="44">
        <v>3.3000000000000002E-2</v>
      </c>
      <c r="F21" s="29">
        <v>3.7999999999999999E-2</v>
      </c>
      <c r="G21" s="30">
        <v>3.5000000000000003E-2</v>
      </c>
      <c r="H21" s="44">
        <v>5.3999999999999999E-2</v>
      </c>
      <c r="I21" s="29">
        <v>5.8999999999999997E-2</v>
      </c>
      <c r="J21" s="30">
        <v>5.5E-2</v>
      </c>
    </row>
    <row r="22" spans="1:10">
      <c r="A22" s="6" t="s">
        <v>14</v>
      </c>
      <c r="B22" s="77">
        <v>500000</v>
      </c>
      <c r="C22" s="44">
        <v>3.9E-2</v>
      </c>
      <c r="D22" s="30">
        <v>4.8000000000000001E-2</v>
      </c>
      <c r="E22" s="44">
        <v>2.7E-2</v>
      </c>
      <c r="F22" s="29">
        <v>3.2000000000000001E-2</v>
      </c>
      <c r="G22" s="30">
        <v>2.9000000000000001E-2</v>
      </c>
      <c r="H22" s="44">
        <v>4.2999999999999997E-2</v>
      </c>
      <c r="I22" s="29">
        <v>4.8000000000000001E-2</v>
      </c>
      <c r="J22" s="30">
        <v>4.4999999999999998E-2</v>
      </c>
    </row>
    <row r="23" spans="1:10">
      <c r="A23" s="6" t="s">
        <v>15</v>
      </c>
      <c r="B23" s="77">
        <v>600000</v>
      </c>
      <c r="C23" s="44">
        <v>3.9E-2</v>
      </c>
      <c r="D23" s="30">
        <v>4.8000000000000001E-2</v>
      </c>
      <c r="E23" s="44">
        <v>2.3E-2</v>
      </c>
      <c r="F23" s="29">
        <v>2.8000000000000001E-2</v>
      </c>
      <c r="G23" s="30">
        <v>2.5000000000000001E-2</v>
      </c>
      <c r="H23" s="44">
        <v>3.5999999999999997E-2</v>
      </c>
      <c r="I23" s="29">
        <v>4.1000000000000002E-2</v>
      </c>
      <c r="J23" s="30">
        <v>3.7999999999999999E-2</v>
      </c>
    </row>
    <row r="24" spans="1:10">
      <c r="A24" s="6" t="s">
        <v>16</v>
      </c>
      <c r="B24" s="77">
        <v>700000</v>
      </c>
      <c r="C24" s="44"/>
      <c r="D24" s="30"/>
      <c r="E24" s="44"/>
      <c r="F24" s="29"/>
      <c r="G24" s="30"/>
      <c r="H24" s="44"/>
      <c r="I24" s="29"/>
      <c r="J24" s="30"/>
    </row>
    <row r="25" spans="1:10">
      <c r="A25" s="6" t="s">
        <v>17</v>
      </c>
      <c r="B25" s="77">
        <v>750000</v>
      </c>
      <c r="C25" s="44">
        <v>3.7999999999999999E-2</v>
      </c>
      <c r="D25" s="30">
        <v>4.8000000000000001E-2</v>
      </c>
      <c r="E25" s="44">
        <v>1.9E-2</v>
      </c>
      <c r="F25" s="29">
        <v>2.4E-2</v>
      </c>
      <c r="G25" s="30">
        <v>2.1000000000000001E-2</v>
      </c>
      <c r="H25" s="44">
        <v>2.9000000000000001E-2</v>
      </c>
      <c r="I25" s="29">
        <v>3.4000000000000002E-2</v>
      </c>
      <c r="J25" s="30">
        <v>3.1E-2</v>
      </c>
    </row>
    <row r="26" spans="1:10">
      <c r="A26" s="6" t="s">
        <v>18</v>
      </c>
      <c r="B26" s="77">
        <v>800000</v>
      </c>
      <c r="C26" s="44"/>
      <c r="D26" s="30"/>
      <c r="E26" s="44"/>
      <c r="F26" s="29"/>
      <c r="G26" s="30"/>
      <c r="H26" s="44"/>
      <c r="I26" s="29"/>
      <c r="J26" s="30"/>
    </row>
    <row r="27" spans="1:10">
      <c r="A27" s="6" t="s">
        <v>19</v>
      </c>
      <c r="B27" s="77">
        <v>900000</v>
      </c>
      <c r="C27" s="44"/>
      <c r="D27" s="30"/>
      <c r="E27" s="44"/>
      <c r="F27" s="29"/>
      <c r="G27" s="30"/>
      <c r="H27" s="44"/>
      <c r="I27" s="29"/>
      <c r="J27" s="30"/>
    </row>
    <row r="28" spans="1:10">
      <c r="A28" s="6" t="s">
        <v>20</v>
      </c>
      <c r="B28" s="77">
        <v>1000000</v>
      </c>
      <c r="C28" s="44">
        <v>3.6999999999999998E-2</v>
      </c>
      <c r="D28" s="30">
        <v>4.5999999999999999E-2</v>
      </c>
      <c r="E28" s="44">
        <v>1.4999999999999999E-2</v>
      </c>
      <c r="F28" s="29">
        <v>1.9E-2</v>
      </c>
      <c r="G28" s="30">
        <v>1.7999999999999999E-2</v>
      </c>
      <c r="H28" s="44">
        <v>2.3E-2</v>
      </c>
      <c r="I28" s="29">
        <v>2.7E-2</v>
      </c>
      <c r="J28" s="30">
        <v>2.5000000000000001E-2</v>
      </c>
    </row>
    <row r="29" spans="1:10">
      <c r="A29" s="6" t="s">
        <v>21</v>
      </c>
      <c r="B29" s="77">
        <v>1250000</v>
      </c>
      <c r="C29" s="44"/>
      <c r="D29" s="30"/>
      <c r="E29" s="44"/>
      <c r="F29" s="29"/>
      <c r="G29" s="30"/>
      <c r="H29" s="44"/>
      <c r="I29" s="29"/>
      <c r="J29" s="30"/>
    </row>
    <row r="30" spans="1:10">
      <c r="A30" s="6" t="s">
        <v>22</v>
      </c>
      <c r="B30" s="77">
        <v>1500000</v>
      </c>
      <c r="C30" s="44"/>
      <c r="D30" s="30"/>
      <c r="E30" s="44"/>
      <c r="F30" s="29"/>
      <c r="G30" s="30"/>
      <c r="H30" s="44"/>
      <c r="I30" s="29"/>
      <c r="J30" s="30"/>
    </row>
    <row r="31" spans="1:10">
      <c r="A31" s="6" t="s">
        <v>23</v>
      </c>
      <c r="B31" s="77">
        <v>1750000</v>
      </c>
      <c r="C31" s="44"/>
      <c r="D31" s="30"/>
      <c r="E31" s="44"/>
      <c r="F31" s="29"/>
      <c r="G31" s="30"/>
      <c r="H31" s="44"/>
      <c r="I31" s="29"/>
      <c r="J31" s="30"/>
    </row>
    <row r="32" spans="1:10" ht="16" thickBot="1">
      <c r="A32" s="8" t="s">
        <v>24</v>
      </c>
      <c r="B32" s="78">
        <v>2000000</v>
      </c>
      <c r="C32" s="45"/>
      <c r="D32" s="59"/>
      <c r="E32" s="45"/>
      <c r="F32" s="58"/>
      <c r="G32" s="59"/>
      <c r="H32" s="45"/>
      <c r="I32" s="58"/>
      <c r="J32" s="59"/>
    </row>
    <row r="33" spans="3:10">
      <c r="C33" s="29"/>
      <c r="D33" s="29"/>
      <c r="E33" s="29"/>
      <c r="F33" s="29"/>
      <c r="G33" s="29"/>
      <c r="H33" s="29"/>
      <c r="I33" s="29"/>
      <c r="J33" s="29"/>
    </row>
    <row r="34" spans="3:10">
      <c r="C34" s="29"/>
      <c r="D34" s="29"/>
      <c r="E34" s="29"/>
      <c r="F34" s="29"/>
      <c r="G34" s="29"/>
      <c r="H34" s="29"/>
      <c r="I34" s="29"/>
      <c r="J34" s="29"/>
    </row>
  </sheetData>
  <mergeCells count="3">
    <mergeCell ref="C3:D3"/>
    <mergeCell ref="E3:G3"/>
    <mergeCell ref="H3:J3"/>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workbookViewId="0">
      <selection activeCell="F35" sqref="F35"/>
    </sheetView>
  </sheetViews>
  <sheetFormatPr baseColWidth="10" defaultRowHeight="15" x14ac:dyDescent="0"/>
  <cols>
    <col min="1" max="3" width="10.7109375" style="1"/>
    <col min="4" max="4" width="10.7109375" style="87"/>
    <col min="5" max="16384" width="10.7109375" style="1"/>
  </cols>
  <sheetData>
    <row r="1" spans="1:16" ht="16" thickBot="1">
      <c r="A1" s="3" t="s">
        <v>27</v>
      </c>
      <c r="B1" s="73" t="s">
        <v>28</v>
      </c>
      <c r="C1" s="1" t="s">
        <v>126</v>
      </c>
      <c r="D1" s="87" t="s">
        <v>127</v>
      </c>
      <c r="E1" s="1" t="s">
        <v>128</v>
      </c>
      <c r="F1" s="1" t="s">
        <v>129</v>
      </c>
      <c r="G1" s="1" t="s">
        <v>130</v>
      </c>
      <c r="H1" s="1" t="s">
        <v>182</v>
      </c>
      <c r="I1" s="1" t="s">
        <v>185</v>
      </c>
    </row>
    <row r="2" spans="1:16">
      <c r="A2" s="31">
        <v>14</v>
      </c>
      <c r="B2" s="77">
        <v>4110</v>
      </c>
      <c r="C2" s="138" t="s">
        <v>192</v>
      </c>
      <c r="D2" s="139"/>
      <c r="E2" s="139"/>
      <c r="F2" s="139"/>
      <c r="G2" s="139"/>
      <c r="H2" s="139"/>
      <c r="I2" s="139"/>
      <c r="M2" s="1">
        <v>250.66</v>
      </c>
    </row>
    <row r="3" spans="1:16" ht="16" thickBot="1">
      <c r="A3" s="31">
        <v>12</v>
      </c>
      <c r="B3" s="77">
        <v>6530</v>
      </c>
      <c r="C3" s="138"/>
      <c r="D3" s="139"/>
      <c r="E3" s="139"/>
      <c r="F3" s="139"/>
      <c r="G3" s="139"/>
      <c r="H3" s="139"/>
      <c r="I3" s="139"/>
      <c r="M3" s="1" t="s">
        <v>9</v>
      </c>
    </row>
    <row r="4" spans="1:16" ht="16" thickBot="1">
      <c r="A4" s="31">
        <v>10</v>
      </c>
      <c r="B4" s="77">
        <v>10380</v>
      </c>
      <c r="C4" s="138"/>
      <c r="D4" s="139"/>
      <c r="E4" s="139"/>
      <c r="F4" s="139"/>
      <c r="G4" s="139"/>
      <c r="H4" s="139"/>
      <c r="I4" s="139"/>
      <c r="K4" s="107" t="s">
        <v>159</v>
      </c>
      <c r="L4" s="108">
        <v>66360</v>
      </c>
      <c r="M4" s="109">
        <v>8</v>
      </c>
    </row>
    <row r="5" spans="1:16">
      <c r="A5" s="31">
        <v>8</v>
      </c>
      <c r="B5" s="77">
        <v>16510</v>
      </c>
      <c r="C5" s="138"/>
      <c r="D5" s="139"/>
      <c r="E5" s="139"/>
      <c r="F5" s="139"/>
      <c r="G5" s="139"/>
      <c r="H5" s="139"/>
      <c r="I5" s="139"/>
      <c r="K5" s="106">
        <v>1</v>
      </c>
      <c r="L5" s="99">
        <v>83690</v>
      </c>
      <c r="M5" s="36">
        <v>6</v>
      </c>
    </row>
    <row r="6" spans="1:16" ht="16" thickBot="1">
      <c r="A6" s="31">
        <v>6</v>
      </c>
      <c r="B6" s="77">
        <v>26240</v>
      </c>
      <c r="C6" s="138"/>
      <c r="D6" s="139"/>
      <c r="E6" s="139"/>
      <c r="F6" s="139"/>
      <c r="G6" s="139"/>
      <c r="H6" s="139"/>
      <c r="I6" s="139"/>
      <c r="K6" s="105" t="s">
        <v>4</v>
      </c>
      <c r="L6" s="78">
        <v>105600</v>
      </c>
      <c r="M6" s="59">
        <v>6</v>
      </c>
    </row>
    <row r="7" spans="1:16">
      <c r="A7" s="31">
        <v>4</v>
      </c>
      <c r="B7" s="77">
        <v>41740</v>
      </c>
      <c r="C7" s="138"/>
      <c r="D7" s="139"/>
      <c r="E7" s="139"/>
      <c r="F7" s="139"/>
      <c r="G7" s="139"/>
      <c r="H7" s="139"/>
      <c r="I7" s="139"/>
      <c r="K7" s="98" t="s">
        <v>5</v>
      </c>
      <c r="L7" s="99">
        <v>133100</v>
      </c>
      <c r="M7" s="36">
        <v>4</v>
      </c>
      <c r="N7" s="130">
        <v>0.125</v>
      </c>
    </row>
    <row r="8" spans="1:16" ht="16" thickBot="1">
      <c r="A8" s="31">
        <v>3</v>
      </c>
      <c r="B8" s="77">
        <v>52620</v>
      </c>
      <c r="C8" s="138"/>
      <c r="D8" s="139"/>
      <c r="E8" s="139"/>
      <c r="F8" s="139"/>
      <c r="G8" s="139"/>
      <c r="H8" s="139"/>
      <c r="I8" s="139"/>
      <c r="K8" s="105" t="s">
        <v>6</v>
      </c>
      <c r="L8" s="78">
        <v>167800</v>
      </c>
      <c r="M8" s="59">
        <v>4</v>
      </c>
    </row>
    <row r="9" spans="1:16" ht="15" customHeight="1">
      <c r="A9" s="31">
        <v>2</v>
      </c>
      <c r="B9" s="77">
        <v>66360</v>
      </c>
      <c r="C9" s="138"/>
      <c r="D9" s="139"/>
      <c r="E9" s="139"/>
      <c r="F9" s="139"/>
      <c r="G9" s="139"/>
      <c r="H9" s="139"/>
      <c r="I9" s="139"/>
      <c r="J9" s="1" t="s">
        <v>191</v>
      </c>
      <c r="K9" s="98" t="s">
        <v>131</v>
      </c>
      <c r="L9" s="99">
        <v>211200</v>
      </c>
      <c r="M9" s="41">
        <v>2</v>
      </c>
      <c r="N9" s="127">
        <f>L9 * 0.125</f>
        <v>26400</v>
      </c>
      <c r="O9" s="140" t="s">
        <v>188</v>
      </c>
    </row>
    <row r="10" spans="1:16">
      <c r="A10" s="31">
        <v>1</v>
      </c>
      <c r="B10" s="77">
        <v>83690</v>
      </c>
      <c r="C10" s="138"/>
      <c r="D10" s="139"/>
      <c r="E10" s="139"/>
      <c r="F10" s="139"/>
      <c r="G10" s="139"/>
      <c r="H10" s="139"/>
      <c r="I10" s="139"/>
      <c r="K10" s="100" t="s">
        <v>7</v>
      </c>
      <c r="L10" s="77">
        <v>211600</v>
      </c>
      <c r="M10" s="29">
        <v>2</v>
      </c>
      <c r="N10" s="128">
        <f t="shared" ref="N10:N52" si="0">L10 * 0.125</f>
        <v>26450</v>
      </c>
      <c r="O10" s="141"/>
    </row>
    <row r="11" spans="1:16">
      <c r="A11" s="7" t="s">
        <v>4</v>
      </c>
      <c r="B11" s="77">
        <v>105600</v>
      </c>
      <c r="C11" s="97">
        <f>2*B11</f>
        <v>211200</v>
      </c>
      <c r="D11" s="97">
        <f>3*B11</f>
        <v>316800</v>
      </c>
      <c r="E11" s="97">
        <f>4*B11</f>
        <v>422400</v>
      </c>
      <c r="F11" s="97">
        <f>5*B11</f>
        <v>528000</v>
      </c>
      <c r="G11" s="97">
        <f>6*B11</f>
        <v>633600</v>
      </c>
      <c r="H11" s="123">
        <f>B11 * 7</f>
        <v>739200</v>
      </c>
      <c r="I11" s="123">
        <f>B11 * 8</f>
        <v>844800</v>
      </c>
      <c r="J11" s="126">
        <f>B11 * 9</f>
        <v>950400</v>
      </c>
      <c r="K11" s="101" t="s">
        <v>10</v>
      </c>
      <c r="L11" s="77">
        <v>250000</v>
      </c>
      <c r="M11" s="29">
        <v>2</v>
      </c>
      <c r="N11" s="128">
        <f t="shared" si="0"/>
        <v>31250</v>
      </c>
      <c r="O11" s="141"/>
      <c r="P11" s="79"/>
    </row>
    <row r="12" spans="1:16">
      <c r="A12" s="7" t="s">
        <v>5</v>
      </c>
      <c r="B12" s="77">
        <v>133100</v>
      </c>
      <c r="C12" s="97">
        <f t="shared" ref="C12:C29" si="1">2*B12</f>
        <v>266200</v>
      </c>
      <c r="D12" s="97">
        <f t="shared" ref="D12:D29" si="2">3*B12</f>
        <v>399300</v>
      </c>
      <c r="E12" s="97">
        <f t="shared" ref="E12:E29" si="3">4*B12</f>
        <v>532400</v>
      </c>
      <c r="F12" s="97">
        <f t="shared" ref="F12:F29" si="4">5*B12</f>
        <v>665500</v>
      </c>
      <c r="G12" s="97">
        <f t="shared" ref="G12:G29" si="5">6*B12</f>
        <v>798600</v>
      </c>
      <c r="H12" s="123">
        <f>B12 * 7</f>
        <v>931700</v>
      </c>
      <c r="I12" s="123">
        <f>B12 * 8</f>
        <v>1064800</v>
      </c>
      <c r="J12" s="1">
        <f>B12 * 9</f>
        <v>1197900</v>
      </c>
      <c r="K12" s="101" t="s">
        <v>132</v>
      </c>
      <c r="L12" s="77">
        <v>266200</v>
      </c>
      <c r="M12" s="29">
        <v>2</v>
      </c>
      <c r="N12" s="128">
        <f t="shared" si="0"/>
        <v>33275</v>
      </c>
      <c r="O12" s="141"/>
    </row>
    <row r="13" spans="1:16">
      <c r="A13" s="7" t="s">
        <v>6</v>
      </c>
      <c r="B13" s="77">
        <v>167800</v>
      </c>
      <c r="C13" s="97">
        <f t="shared" si="1"/>
        <v>335600</v>
      </c>
      <c r="D13" s="97">
        <f t="shared" si="2"/>
        <v>503400</v>
      </c>
      <c r="E13" s="97">
        <f t="shared" si="3"/>
        <v>671200</v>
      </c>
      <c r="F13" s="97">
        <f t="shared" si="4"/>
        <v>839000</v>
      </c>
      <c r="G13" s="97">
        <f t="shared" si="5"/>
        <v>1006800</v>
      </c>
      <c r="H13" s="87">
        <f>B13 * 7</f>
        <v>1174600</v>
      </c>
      <c r="I13" s="87">
        <f>B13 * 8</f>
        <v>1342400</v>
      </c>
      <c r="K13" s="101" t="s">
        <v>11</v>
      </c>
      <c r="L13" s="77">
        <v>300000</v>
      </c>
      <c r="M13" s="29">
        <v>2</v>
      </c>
      <c r="N13" s="128">
        <f t="shared" si="0"/>
        <v>37500</v>
      </c>
      <c r="O13" s="141"/>
    </row>
    <row r="14" spans="1:16">
      <c r="A14" s="7" t="s">
        <v>7</v>
      </c>
      <c r="B14" s="77">
        <v>211600</v>
      </c>
      <c r="C14" s="97">
        <f t="shared" si="1"/>
        <v>423200</v>
      </c>
      <c r="D14" s="97">
        <f t="shared" si="2"/>
        <v>634800</v>
      </c>
      <c r="E14" s="97">
        <f t="shared" si="3"/>
        <v>846400</v>
      </c>
      <c r="F14" s="97">
        <f t="shared" si="4"/>
        <v>1058000</v>
      </c>
      <c r="G14" s="87">
        <f t="shared" si="5"/>
        <v>1269600</v>
      </c>
      <c r="K14" s="101" t="s">
        <v>133</v>
      </c>
      <c r="L14" s="77">
        <v>316800</v>
      </c>
      <c r="M14" s="29">
        <v>2</v>
      </c>
      <c r="N14" s="128">
        <f t="shared" si="0"/>
        <v>39600</v>
      </c>
      <c r="O14" s="141"/>
    </row>
    <row r="15" spans="1:16">
      <c r="A15" s="6" t="s">
        <v>10</v>
      </c>
      <c r="B15" s="77">
        <v>250000</v>
      </c>
      <c r="C15" s="97">
        <f t="shared" si="1"/>
        <v>500000</v>
      </c>
      <c r="D15" s="97">
        <f t="shared" si="2"/>
        <v>750000</v>
      </c>
      <c r="E15" s="97">
        <f t="shared" si="3"/>
        <v>1000000</v>
      </c>
      <c r="F15" s="87">
        <f t="shared" si="4"/>
        <v>1250000</v>
      </c>
      <c r="G15" s="87">
        <f t="shared" si="5"/>
        <v>1500000</v>
      </c>
      <c r="K15" s="101" t="s">
        <v>134</v>
      </c>
      <c r="L15" s="77">
        <v>335600</v>
      </c>
      <c r="M15" s="29">
        <v>2</v>
      </c>
      <c r="N15" s="128">
        <f t="shared" si="0"/>
        <v>41950</v>
      </c>
      <c r="O15" s="141"/>
    </row>
    <row r="16" spans="1:16" ht="16" thickBot="1">
      <c r="A16" s="6" t="s">
        <v>11</v>
      </c>
      <c r="B16" s="77">
        <v>300000</v>
      </c>
      <c r="C16" s="97">
        <f t="shared" si="1"/>
        <v>600000</v>
      </c>
      <c r="D16" s="97">
        <f t="shared" si="2"/>
        <v>900000</v>
      </c>
      <c r="E16" s="125">
        <f t="shared" si="3"/>
        <v>1200000</v>
      </c>
      <c r="F16" s="87">
        <f t="shared" si="4"/>
        <v>1500000</v>
      </c>
      <c r="G16" s="87">
        <f t="shared" si="5"/>
        <v>1800000</v>
      </c>
      <c r="K16" s="101" t="s">
        <v>12</v>
      </c>
      <c r="L16" s="77">
        <v>350000</v>
      </c>
      <c r="M16" s="29">
        <v>2</v>
      </c>
      <c r="N16" s="129">
        <f t="shared" si="0"/>
        <v>43750</v>
      </c>
      <c r="O16" s="142"/>
    </row>
    <row r="17" spans="1:15" ht="15" customHeight="1">
      <c r="A17" s="6" t="s">
        <v>12</v>
      </c>
      <c r="B17" s="77">
        <v>350000</v>
      </c>
      <c r="C17" s="97">
        <f t="shared" si="1"/>
        <v>700000</v>
      </c>
      <c r="D17" s="97">
        <f t="shared" si="2"/>
        <v>1050000</v>
      </c>
      <c r="E17" s="87">
        <f t="shared" si="3"/>
        <v>1400000</v>
      </c>
      <c r="F17" s="87">
        <f t="shared" si="4"/>
        <v>1750000</v>
      </c>
      <c r="G17" s="87">
        <f t="shared" si="5"/>
        <v>2100000</v>
      </c>
      <c r="K17" s="103" t="s">
        <v>135</v>
      </c>
      <c r="L17" s="99">
        <v>399300</v>
      </c>
      <c r="M17" s="104" t="s">
        <v>4</v>
      </c>
      <c r="N17" s="127">
        <f>L17 * 0.125</f>
        <v>49912.5</v>
      </c>
      <c r="O17" s="140" t="s">
        <v>189</v>
      </c>
    </row>
    <row r="18" spans="1:15">
      <c r="A18" s="6" t="s">
        <v>13</v>
      </c>
      <c r="B18" s="77">
        <v>400000</v>
      </c>
      <c r="C18" s="97">
        <f t="shared" si="1"/>
        <v>800000</v>
      </c>
      <c r="D18" s="125">
        <f t="shared" si="2"/>
        <v>1200000</v>
      </c>
      <c r="E18" s="87">
        <f t="shared" si="3"/>
        <v>1600000</v>
      </c>
      <c r="F18" s="87">
        <f t="shared" si="4"/>
        <v>2000000</v>
      </c>
      <c r="G18" s="87">
        <f t="shared" si="5"/>
        <v>2400000</v>
      </c>
      <c r="K18" s="101" t="s">
        <v>13</v>
      </c>
      <c r="L18" s="77">
        <v>400000</v>
      </c>
      <c r="M18" s="55" t="s">
        <v>4</v>
      </c>
      <c r="N18" s="128">
        <f t="shared" si="0"/>
        <v>50000</v>
      </c>
      <c r="O18" s="141"/>
    </row>
    <row r="19" spans="1:15">
      <c r="A19" s="6" t="s">
        <v>14</v>
      </c>
      <c r="B19" s="77">
        <v>500000</v>
      </c>
      <c r="C19" s="97">
        <f t="shared" si="1"/>
        <v>1000000</v>
      </c>
      <c r="D19" s="87">
        <f t="shared" si="2"/>
        <v>1500000</v>
      </c>
      <c r="E19" s="87">
        <f t="shared" si="3"/>
        <v>2000000</v>
      </c>
      <c r="F19" s="87">
        <f t="shared" si="4"/>
        <v>2500000</v>
      </c>
      <c r="G19" s="87">
        <f t="shared" si="5"/>
        <v>3000000</v>
      </c>
      <c r="K19" s="101" t="s">
        <v>136</v>
      </c>
      <c r="L19" s="77">
        <v>422400</v>
      </c>
      <c r="M19" s="55" t="s">
        <v>4</v>
      </c>
      <c r="N19" s="128">
        <f t="shared" si="0"/>
        <v>52800</v>
      </c>
      <c r="O19" s="141"/>
    </row>
    <row r="20" spans="1:15">
      <c r="A20" s="6" t="s">
        <v>15</v>
      </c>
      <c r="B20" s="77">
        <v>600000</v>
      </c>
      <c r="C20" s="125">
        <f t="shared" si="1"/>
        <v>1200000</v>
      </c>
      <c r="D20" s="87">
        <f t="shared" si="2"/>
        <v>1800000</v>
      </c>
      <c r="E20" s="87">
        <f t="shared" si="3"/>
        <v>2400000</v>
      </c>
      <c r="F20" s="87">
        <f t="shared" si="4"/>
        <v>3000000</v>
      </c>
      <c r="G20" s="87">
        <f t="shared" si="5"/>
        <v>3600000</v>
      </c>
      <c r="K20" s="101" t="s">
        <v>137</v>
      </c>
      <c r="L20" s="77">
        <v>423200</v>
      </c>
      <c r="M20" s="55" t="s">
        <v>4</v>
      </c>
      <c r="N20" s="128">
        <f t="shared" si="0"/>
        <v>52900</v>
      </c>
      <c r="O20" s="141"/>
    </row>
    <row r="21" spans="1:15">
      <c r="A21" s="6" t="s">
        <v>16</v>
      </c>
      <c r="B21" s="77">
        <v>700000</v>
      </c>
      <c r="C21" s="87">
        <f t="shared" si="1"/>
        <v>1400000</v>
      </c>
      <c r="D21" s="87">
        <f t="shared" si="2"/>
        <v>2100000</v>
      </c>
      <c r="E21" s="87">
        <f t="shared" si="3"/>
        <v>2800000</v>
      </c>
      <c r="F21" s="87">
        <f t="shared" si="4"/>
        <v>3500000</v>
      </c>
      <c r="G21" s="87">
        <f t="shared" si="5"/>
        <v>4200000</v>
      </c>
      <c r="K21" s="101" t="s">
        <v>14</v>
      </c>
      <c r="L21" s="77">
        <v>500000</v>
      </c>
      <c r="M21" s="55" t="s">
        <v>4</v>
      </c>
      <c r="N21" s="128">
        <f t="shared" si="0"/>
        <v>62500</v>
      </c>
      <c r="O21" s="141"/>
    </row>
    <row r="22" spans="1:15">
      <c r="A22" s="6" t="s">
        <v>17</v>
      </c>
      <c r="B22" s="77">
        <v>750000</v>
      </c>
      <c r="C22" s="87">
        <f t="shared" si="1"/>
        <v>1500000</v>
      </c>
      <c r="D22" s="87">
        <f t="shared" si="2"/>
        <v>2250000</v>
      </c>
      <c r="E22" s="87">
        <f t="shared" si="3"/>
        <v>3000000</v>
      </c>
      <c r="F22" s="87">
        <f t="shared" si="4"/>
        <v>3750000</v>
      </c>
      <c r="G22" s="87">
        <f t="shared" si="5"/>
        <v>4500000</v>
      </c>
      <c r="K22" s="101" t="s">
        <v>138</v>
      </c>
      <c r="L22" s="77">
        <v>500000</v>
      </c>
      <c r="M22" s="55" t="s">
        <v>4</v>
      </c>
      <c r="N22" s="128">
        <f t="shared" si="0"/>
        <v>62500</v>
      </c>
      <c r="O22" s="141"/>
    </row>
    <row r="23" spans="1:15">
      <c r="A23" s="6" t="s">
        <v>18</v>
      </c>
      <c r="B23" s="77">
        <v>800000</v>
      </c>
      <c r="C23" s="87">
        <f t="shared" si="1"/>
        <v>1600000</v>
      </c>
      <c r="D23" s="87">
        <f t="shared" si="2"/>
        <v>2400000</v>
      </c>
      <c r="E23" s="87">
        <f t="shared" si="3"/>
        <v>3200000</v>
      </c>
      <c r="F23" s="87">
        <f t="shared" si="4"/>
        <v>4000000</v>
      </c>
      <c r="G23" s="87">
        <f t="shared" si="5"/>
        <v>4800000</v>
      </c>
      <c r="K23" s="101" t="s">
        <v>139</v>
      </c>
      <c r="L23" s="77">
        <v>503400</v>
      </c>
      <c r="M23" s="55" t="s">
        <v>4</v>
      </c>
      <c r="N23" s="128">
        <f t="shared" si="0"/>
        <v>62925</v>
      </c>
      <c r="O23" s="141"/>
    </row>
    <row r="24" spans="1:15">
      <c r="A24" s="6" t="s">
        <v>19</v>
      </c>
      <c r="B24" s="77">
        <v>900000</v>
      </c>
      <c r="C24" s="87">
        <f t="shared" si="1"/>
        <v>1800000</v>
      </c>
      <c r="D24" s="87">
        <f t="shared" si="2"/>
        <v>2700000</v>
      </c>
      <c r="E24" s="87">
        <f t="shared" si="3"/>
        <v>3600000</v>
      </c>
      <c r="F24" s="87">
        <f t="shared" si="4"/>
        <v>4500000</v>
      </c>
      <c r="G24" s="87">
        <f t="shared" si="5"/>
        <v>5400000</v>
      </c>
      <c r="K24" s="101" t="s">
        <v>141</v>
      </c>
      <c r="L24" s="77">
        <v>528000</v>
      </c>
      <c r="M24" s="55" t="s">
        <v>4</v>
      </c>
      <c r="N24" s="128">
        <f t="shared" si="0"/>
        <v>66000</v>
      </c>
      <c r="O24" s="141"/>
    </row>
    <row r="25" spans="1:15">
      <c r="A25" s="6" t="s">
        <v>20</v>
      </c>
      <c r="B25" s="77">
        <v>1000000</v>
      </c>
      <c r="C25" s="87">
        <f t="shared" si="1"/>
        <v>2000000</v>
      </c>
      <c r="D25" s="87">
        <f t="shared" si="2"/>
        <v>3000000</v>
      </c>
      <c r="E25" s="87">
        <f t="shared" si="3"/>
        <v>4000000</v>
      </c>
      <c r="F25" s="87">
        <f t="shared" si="4"/>
        <v>5000000</v>
      </c>
      <c r="G25" s="87">
        <f t="shared" si="5"/>
        <v>6000000</v>
      </c>
      <c r="K25" s="101" t="s">
        <v>140</v>
      </c>
      <c r="L25" s="77">
        <v>532400</v>
      </c>
      <c r="M25" s="55" t="s">
        <v>4</v>
      </c>
      <c r="N25" s="128">
        <f t="shared" si="0"/>
        <v>66550</v>
      </c>
      <c r="O25" s="141"/>
    </row>
    <row r="26" spans="1:15">
      <c r="A26" s="6" t="s">
        <v>21</v>
      </c>
      <c r="B26" s="77">
        <v>1250000</v>
      </c>
      <c r="C26" s="87">
        <f t="shared" si="1"/>
        <v>2500000</v>
      </c>
      <c r="D26" s="87">
        <f t="shared" si="2"/>
        <v>3750000</v>
      </c>
      <c r="E26" s="87">
        <f t="shared" si="3"/>
        <v>5000000</v>
      </c>
      <c r="F26" s="87">
        <f t="shared" si="4"/>
        <v>6250000</v>
      </c>
      <c r="G26" s="87">
        <f t="shared" si="5"/>
        <v>7500000</v>
      </c>
      <c r="K26" s="101" t="s">
        <v>15</v>
      </c>
      <c r="L26" s="77">
        <v>600000</v>
      </c>
      <c r="M26" s="55" t="s">
        <v>4</v>
      </c>
      <c r="N26" s="128">
        <f t="shared" si="0"/>
        <v>75000</v>
      </c>
      <c r="O26" s="141"/>
    </row>
    <row r="27" spans="1:15" ht="16" thickBot="1">
      <c r="A27" s="6" t="s">
        <v>22</v>
      </c>
      <c r="B27" s="77">
        <v>1500000</v>
      </c>
      <c r="C27" s="87">
        <f t="shared" si="1"/>
        <v>3000000</v>
      </c>
      <c r="D27" s="87">
        <f t="shared" si="2"/>
        <v>4500000</v>
      </c>
      <c r="E27" s="87">
        <f t="shared" si="3"/>
        <v>6000000</v>
      </c>
      <c r="F27" s="87">
        <f t="shared" si="4"/>
        <v>7500000</v>
      </c>
      <c r="G27" s="87">
        <f t="shared" si="5"/>
        <v>9000000</v>
      </c>
      <c r="K27" s="102" t="s">
        <v>142</v>
      </c>
      <c r="L27" s="78">
        <v>600000</v>
      </c>
      <c r="M27" s="55" t="s">
        <v>4</v>
      </c>
      <c r="N27" s="129">
        <f t="shared" si="0"/>
        <v>75000</v>
      </c>
      <c r="O27" s="142"/>
    </row>
    <row r="28" spans="1:15" ht="15" customHeight="1">
      <c r="A28" s="6" t="s">
        <v>23</v>
      </c>
      <c r="B28" s="77">
        <v>1750000</v>
      </c>
      <c r="C28" s="87">
        <f t="shared" si="1"/>
        <v>3500000</v>
      </c>
      <c r="D28" s="87">
        <f t="shared" si="2"/>
        <v>5250000</v>
      </c>
      <c r="E28" s="87">
        <f t="shared" si="3"/>
        <v>7000000</v>
      </c>
      <c r="F28" s="87">
        <f t="shared" si="4"/>
        <v>8750000</v>
      </c>
      <c r="G28" s="87">
        <f t="shared" si="5"/>
        <v>10500000</v>
      </c>
      <c r="K28" s="103" t="s">
        <v>143</v>
      </c>
      <c r="L28" s="99">
        <v>633600</v>
      </c>
      <c r="M28" s="104" t="s">
        <v>5</v>
      </c>
      <c r="N28" s="127">
        <f>L28 * 0.125</f>
        <v>79200</v>
      </c>
      <c r="O28" s="140" t="s">
        <v>190</v>
      </c>
    </row>
    <row r="29" spans="1:15" ht="16" thickBot="1">
      <c r="A29" s="8" t="s">
        <v>24</v>
      </c>
      <c r="B29" s="78">
        <v>2000000</v>
      </c>
      <c r="C29" s="87">
        <f t="shared" si="1"/>
        <v>4000000</v>
      </c>
      <c r="D29" s="87">
        <f t="shared" si="2"/>
        <v>6000000</v>
      </c>
      <c r="E29" s="87">
        <f t="shared" si="3"/>
        <v>8000000</v>
      </c>
      <c r="F29" s="87">
        <f t="shared" si="4"/>
        <v>10000000</v>
      </c>
      <c r="G29" s="87">
        <f t="shared" si="5"/>
        <v>12000000</v>
      </c>
      <c r="K29" s="101" t="s">
        <v>144</v>
      </c>
      <c r="L29" s="77">
        <v>634800</v>
      </c>
      <c r="M29" s="55" t="s">
        <v>5</v>
      </c>
      <c r="N29" s="128">
        <f t="shared" si="0"/>
        <v>79350</v>
      </c>
      <c r="O29" s="141"/>
    </row>
    <row r="30" spans="1:15">
      <c r="K30" s="101" t="s">
        <v>145</v>
      </c>
      <c r="L30" s="77">
        <v>665500</v>
      </c>
      <c r="M30" s="55" t="s">
        <v>5</v>
      </c>
      <c r="N30" s="128">
        <f t="shared" si="0"/>
        <v>83187.5</v>
      </c>
      <c r="O30" s="141"/>
    </row>
    <row r="31" spans="1:15">
      <c r="K31" s="101" t="s">
        <v>146</v>
      </c>
      <c r="L31" s="77">
        <v>671200</v>
      </c>
      <c r="M31" s="55" t="s">
        <v>5</v>
      </c>
      <c r="N31" s="128">
        <f t="shared" si="0"/>
        <v>83900</v>
      </c>
      <c r="O31" s="141"/>
    </row>
    <row r="32" spans="1:15">
      <c r="K32" s="101" t="s">
        <v>16</v>
      </c>
      <c r="L32" s="77">
        <v>700000</v>
      </c>
      <c r="M32" s="55" t="s">
        <v>5</v>
      </c>
      <c r="N32" s="128">
        <f t="shared" si="0"/>
        <v>87500</v>
      </c>
      <c r="O32" s="141"/>
    </row>
    <row r="33" spans="11:15">
      <c r="K33" s="101" t="s">
        <v>147</v>
      </c>
      <c r="L33" s="77">
        <v>700000</v>
      </c>
      <c r="M33" s="55" t="s">
        <v>5</v>
      </c>
      <c r="N33" s="128">
        <f t="shared" si="0"/>
        <v>87500</v>
      </c>
      <c r="O33" s="141"/>
    </row>
    <row r="34" spans="11:15">
      <c r="K34" s="101" t="s">
        <v>183</v>
      </c>
      <c r="L34" s="77">
        <v>739200</v>
      </c>
      <c r="M34" s="55" t="s">
        <v>5</v>
      </c>
      <c r="N34" s="128">
        <f t="shared" si="0"/>
        <v>92400</v>
      </c>
      <c r="O34" s="141"/>
    </row>
    <row r="35" spans="11:15">
      <c r="K35" s="101" t="s">
        <v>17</v>
      </c>
      <c r="L35" s="77">
        <v>750000</v>
      </c>
      <c r="M35" s="55" t="s">
        <v>5</v>
      </c>
      <c r="N35" s="128">
        <f t="shared" si="0"/>
        <v>93750</v>
      </c>
      <c r="O35" s="141"/>
    </row>
    <row r="36" spans="11:15">
      <c r="K36" s="101" t="s">
        <v>148</v>
      </c>
      <c r="L36" s="77">
        <v>750000</v>
      </c>
      <c r="M36" s="55" t="s">
        <v>5</v>
      </c>
      <c r="N36" s="128">
        <f t="shared" si="0"/>
        <v>93750</v>
      </c>
      <c r="O36" s="141"/>
    </row>
    <row r="37" spans="11:15">
      <c r="K37" s="101" t="s">
        <v>149</v>
      </c>
      <c r="L37" s="77">
        <v>798600</v>
      </c>
      <c r="M37" s="55" t="s">
        <v>5</v>
      </c>
      <c r="N37" s="128">
        <f t="shared" si="0"/>
        <v>99825</v>
      </c>
      <c r="O37" s="141"/>
    </row>
    <row r="38" spans="11:15">
      <c r="K38" s="101" t="s">
        <v>18</v>
      </c>
      <c r="L38" s="77">
        <v>800000</v>
      </c>
      <c r="M38" s="55" t="s">
        <v>5</v>
      </c>
      <c r="N38" s="128">
        <f t="shared" si="0"/>
        <v>100000</v>
      </c>
      <c r="O38" s="141"/>
    </row>
    <row r="39" spans="11:15">
      <c r="K39" s="101" t="s">
        <v>150</v>
      </c>
      <c r="L39" s="77">
        <v>800000</v>
      </c>
      <c r="M39" s="55" t="s">
        <v>5</v>
      </c>
      <c r="N39" s="128">
        <f t="shared" si="0"/>
        <v>100000</v>
      </c>
      <c r="O39" s="141"/>
    </row>
    <row r="40" spans="11:15">
      <c r="K40" s="101" t="s">
        <v>151</v>
      </c>
      <c r="L40" s="77">
        <v>839000</v>
      </c>
      <c r="M40" s="55" t="s">
        <v>5</v>
      </c>
      <c r="N40" s="128">
        <f t="shared" si="0"/>
        <v>104875</v>
      </c>
      <c r="O40" s="141"/>
    </row>
    <row r="41" spans="11:15">
      <c r="K41" s="101" t="s">
        <v>186</v>
      </c>
      <c r="L41" s="77">
        <v>844800</v>
      </c>
      <c r="M41" s="55" t="s">
        <v>5</v>
      </c>
      <c r="N41" s="128">
        <f t="shared" si="0"/>
        <v>105600</v>
      </c>
      <c r="O41" s="141"/>
    </row>
    <row r="42" spans="11:15">
      <c r="K42" s="101" t="s">
        <v>152</v>
      </c>
      <c r="L42" s="77">
        <v>846400</v>
      </c>
      <c r="M42" s="55" t="s">
        <v>5</v>
      </c>
      <c r="N42" s="128">
        <f t="shared" si="0"/>
        <v>105800</v>
      </c>
      <c r="O42" s="141"/>
    </row>
    <row r="43" spans="11:15">
      <c r="K43" s="101" t="s">
        <v>19</v>
      </c>
      <c r="L43" s="77">
        <v>900000</v>
      </c>
      <c r="M43" s="55" t="s">
        <v>5</v>
      </c>
      <c r="N43" s="128">
        <f t="shared" si="0"/>
        <v>112500</v>
      </c>
      <c r="O43" s="141"/>
    </row>
    <row r="44" spans="11:15">
      <c r="K44" s="101" t="s">
        <v>153</v>
      </c>
      <c r="L44" s="77">
        <v>900000</v>
      </c>
      <c r="M44" s="55" t="s">
        <v>5</v>
      </c>
      <c r="N44" s="128">
        <f t="shared" si="0"/>
        <v>112500</v>
      </c>
      <c r="O44" s="141"/>
    </row>
    <row r="45" spans="11:15">
      <c r="K45" s="101" t="s">
        <v>184</v>
      </c>
      <c r="L45" s="77">
        <v>931700</v>
      </c>
      <c r="M45" s="55" t="s">
        <v>5</v>
      </c>
      <c r="N45" s="128">
        <f t="shared" si="0"/>
        <v>116462.5</v>
      </c>
      <c r="O45" s="141"/>
    </row>
    <row r="46" spans="11:15">
      <c r="K46" s="101" t="s">
        <v>20</v>
      </c>
      <c r="L46" s="77">
        <v>1000000</v>
      </c>
      <c r="M46" s="55" t="s">
        <v>5</v>
      </c>
      <c r="N46" s="128">
        <f t="shared" si="0"/>
        <v>125000</v>
      </c>
      <c r="O46" s="141"/>
    </row>
    <row r="47" spans="11:15">
      <c r="K47" s="101" t="s">
        <v>154</v>
      </c>
      <c r="L47" s="77">
        <v>1000000</v>
      </c>
      <c r="M47" s="55" t="s">
        <v>5</v>
      </c>
      <c r="N47" s="128">
        <f t="shared" si="0"/>
        <v>125000</v>
      </c>
      <c r="O47" s="141"/>
    </row>
    <row r="48" spans="11:15">
      <c r="K48" s="101" t="s">
        <v>155</v>
      </c>
      <c r="L48" s="77">
        <v>1000000</v>
      </c>
      <c r="M48" s="55" t="s">
        <v>5</v>
      </c>
      <c r="N48" s="128">
        <f t="shared" si="0"/>
        <v>125000</v>
      </c>
      <c r="O48" s="141"/>
    </row>
    <row r="49" spans="11:15">
      <c r="K49" s="101" t="s">
        <v>156</v>
      </c>
      <c r="L49" s="77">
        <v>1006800</v>
      </c>
      <c r="M49" s="55" t="s">
        <v>5</v>
      </c>
      <c r="N49" s="128">
        <f t="shared" si="0"/>
        <v>125850</v>
      </c>
      <c r="O49" s="141"/>
    </row>
    <row r="50" spans="11:15">
      <c r="K50" s="101" t="s">
        <v>157</v>
      </c>
      <c r="L50" s="77">
        <v>1050000</v>
      </c>
      <c r="M50" s="55" t="s">
        <v>5</v>
      </c>
      <c r="N50" s="128">
        <f t="shared" si="0"/>
        <v>131250</v>
      </c>
      <c r="O50" s="141"/>
    </row>
    <row r="51" spans="11:15">
      <c r="K51" s="101" t="s">
        <v>158</v>
      </c>
      <c r="L51" s="77">
        <v>1058000</v>
      </c>
      <c r="M51" s="55" t="s">
        <v>5</v>
      </c>
      <c r="N51" s="128">
        <f t="shared" si="0"/>
        <v>132250</v>
      </c>
      <c r="O51" s="141"/>
    </row>
    <row r="52" spans="11:15" ht="16" thickBot="1">
      <c r="K52" s="102" t="s">
        <v>187</v>
      </c>
      <c r="L52" s="78">
        <v>1064800</v>
      </c>
      <c r="M52" s="124" t="s">
        <v>5</v>
      </c>
      <c r="N52" s="129">
        <f t="shared" si="0"/>
        <v>133100</v>
      </c>
      <c r="O52" s="142"/>
    </row>
    <row r="53" spans="11:15" ht="16" thickBot="1">
      <c r="K53" s="45" t="s">
        <v>160</v>
      </c>
      <c r="L53" s="78"/>
      <c r="M53" s="124" t="s">
        <v>6</v>
      </c>
    </row>
  </sheetData>
  <mergeCells count="4">
    <mergeCell ref="C2:I10"/>
    <mergeCell ref="O9:O16"/>
    <mergeCell ref="O17:O27"/>
    <mergeCell ref="O28:O52"/>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Ampacity</vt:lpstr>
      <vt:lpstr>Notes</vt:lpstr>
      <vt:lpstr>tables</vt:lpstr>
      <vt:lpstr>cmil</vt:lpstr>
      <vt:lpstr>Table 9</vt:lpstr>
      <vt:lpstr>Parallel Conductors</vt:lpstr>
    </vt:vector>
  </TitlesOfParts>
  <Company>Mike Holt - HP Laptop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Holt</dc:creator>
  <cp:lastModifiedBy>Eric Stromberg</cp:lastModifiedBy>
  <dcterms:created xsi:type="dcterms:W3CDTF">2011-01-24T15:12:07Z</dcterms:created>
  <dcterms:modified xsi:type="dcterms:W3CDTF">2014-07-04T18:14:07Z</dcterms:modified>
</cp:coreProperties>
</file>