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Mike Holt\Dropbox (MHE)\MHE Technical Team\Mike Holt Files\Safety NFPA 70E\Arc Flash\"/>
    </mc:Choice>
  </mc:AlternateContent>
  <xr:revisionPtr revIDLastSave="0" documentId="8_{6D89F691-B2FC-4232-BA47-6A48D3C62861}" xr6:coauthVersionLast="47" xr6:coauthVersionMax="47" xr10:uidLastSave="{00000000-0000-0000-0000-000000000000}"/>
  <bookViews>
    <workbookView xWindow="-108" yWindow="-108" windowWidth="23256" windowHeight="13176" activeTab="1" xr2:uid="{00000000-000D-0000-FFFF-FFFF00000000}"/>
  </bookViews>
  <sheets>
    <sheet name="Example Sheet" sheetId="4" r:id="rId1"/>
    <sheet name="Fault Current Calculation" sheetId="1" r:id="rId2"/>
    <sheet name="Sheet2" sheetId="2" state="hidden" r:id="rId3"/>
    <sheet name="Sheet3" sheetId="3" state="hidden" r:id="rId4"/>
    <sheet name="Compatibility Report" sheetId="5" state="hidden" r:id="rId5"/>
  </sheets>
  <definedNames>
    <definedName name="_xlnm.Print_Area" localSheetId="1">'Fault Current Calculation'!$A$1:$M$35</definedName>
    <definedName name="Z_2FCC383C_10EF_41F0_858D_505CF08BB01B_.wvu.PrintArea" localSheetId="1" hidden="1">'Fault Current Calculation'!$A$57:$M$80</definedName>
    <definedName name="Z_53803D8B_0A9B_4271_B690_B5F9FC4E36BE_.wvu.PrintArea" localSheetId="1" hidden="1">'Fault Current Calculation'!$A$1:$M$58</definedName>
    <definedName name="Z_82DFEA4E_A735_471A_8B59_472DB22D5406_.wvu.PrintArea" localSheetId="1" hidden="1">'Fault Current Calculation'!$A$1:$M$80</definedName>
    <definedName name="Z_9711F06F_B5CC_4033_8AB3_0E7E6F635E5F_.wvu.PrintArea" localSheetId="1" hidden="1">'Fault Current Calculation'!$A$35:$M$58</definedName>
    <definedName name="Z_DB365FA4_8D94_49CF_B333_8C6A4783853B_.wvu.PrintArea" localSheetId="1" hidden="1">'Fault Current Calculation'!$A$1:$M$35</definedName>
  </definedNames>
  <calcPr calcId="191029"/>
  <customWorkbookViews>
    <customWorkbookView name="Fault Service &amp; Feeder (letter)" guid="{53803D8B-0A9B-4271-B690-B5F9FC4E36BE}" includeHiddenRowCol="0" maximized="1" windowWidth="1895" windowHeight="889" activeSheetId="1"/>
    <customWorkbookView name="Full sheet (Legal)" guid="{82DFEA4E-A735-471A-8B59-472DB22D5406}" includeHiddenRowCol="0" maximized="1" windowWidth="1895" windowHeight="889" activeSheetId="1"/>
    <customWorkbookView name="Fault Current Branch" guid="{2FCC383C-10EF-41F0-858D-505CF08BB01B}" includeHiddenRowCol="0" maximized="1" windowWidth="1895" windowHeight="889" activeSheetId="1"/>
    <customWorkbookView name="Fault Current Feeder" guid="{9711F06F-B5CC-4033-8AB3-0E7E6F635E5F}" includeHiddenRowCol="0" maximized="1" windowWidth="1895" windowHeight="889" activeSheetId="1"/>
    <customWorkbookView name="Fault Current @ Service Equipment" guid="{DB365FA4-8D94-49CF-B333-8C6A4783853B}" includeHiddenRowCol="0" maximized="1" windowWidth="1895"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1" l="1"/>
  <c r="BM25" i="1" l="1"/>
  <c r="BG25" i="1"/>
  <c r="BM24" i="1"/>
  <c r="BG24" i="1"/>
  <c r="BM23" i="1"/>
  <c r="BG23" i="1"/>
  <c r="BM22" i="1"/>
  <c r="BG22" i="1"/>
  <c r="BM21" i="1"/>
  <c r="BG21" i="1"/>
  <c r="BM20" i="1"/>
  <c r="BG20" i="1"/>
  <c r="BM19" i="1"/>
  <c r="BG19" i="1"/>
  <c r="BM18" i="1"/>
  <c r="BG18" i="1"/>
  <c r="BM17" i="1"/>
  <c r="BG17" i="1"/>
  <c r="BM16" i="1"/>
  <c r="BG16" i="1"/>
  <c r="BM15" i="1"/>
  <c r="BG15" i="1"/>
  <c r="BM14" i="1"/>
  <c r="BG14" i="1"/>
  <c r="BM13" i="1"/>
  <c r="BG13" i="1"/>
  <c r="BM12" i="1"/>
  <c r="BG12" i="1"/>
  <c r="BM11" i="1"/>
  <c r="BG11" i="1"/>
  <c r="BM10" i="1"/>
  <c r="BG10" i="1"/>
  <c r="V35" i="1"/>
  <c r="V40" i="1"/>
  <c r="I25" i="1" s="1"/>
  <c r="R48" i="1"/>
  <c r="S34" i="1" s="1"/>
  <c r="R46" i="1"/>
  <c r="S48" i="1"/>
  <c r="S35" i="1" s="1"/>
  <c r="S46" i="1"/>
  <c r="T36" i="1"/>
  <c r="T37" i="1"/>
  <c r="P35" i="1"/>
  <c r="AI46" i="1"/>
  <c r="X48" i="1"/>
  <c r="S36" i="1"/>
  <c r="S37" i="1"/>
  <c r="V41" i="1"/>
  <c r="I22" i="1" s="1"/>
  <c r="AB19" i="1"/>
  <c r="X46" i="1"/>
  <c r="V34" i="1"/>
  <c r="I9" i="1" s="1"/>
  <c r="V37" i="1" s="1"/>
  <c r="I10" i="1" s="1"/>
  <c r="I15" i="1" s="1"/>
  <c r="I19" i="1" s="1"/>
  <c r="Y46" i="1"/>
  <c r="Y48" i="1"/>
  <c r="AD41" i="1"/>
  <c r="AD44" i="1" s="1"/>
  <c r="AD42" i="1"/>
  <c r="Y50" i="1"/>
  <c r="AH49" i="1"/>
  <c r="AI51" i="1" s="1"/>
  <c r="AH46" i="1"/>
  <c r="AI49" i="1"/>
  <c r="AJ54" i="1"/>
  <c r="V51" i="1"/>
  <c r="U65" i="1"/>
  <c r="X80" i="1" s="1"/>
  <c r="X79" i="1"/>
  <c r="Y67" i="1"/>
  <c r="S69" i="1"/>
  <c r="S72" i="1"/>
  <c r="T75" i="1"/>
  <c r="T77" i="1"/>
  <c r="V68" i="1"/>
  <c r="U65" i="4"/>
  <c r="W78" i="4" s="1"/>
  <c r="Y78" i="4" s="1"/>
  <c r="X79" i="4"/>
  <c r="W80" i="4"/>
  <c r="T74" i="4"/>
  <c r="T75" i="4"/>
  <c r="T76" i="4"/>
  <c r="T77" i="4"/>
  <c r="S74" i="4"/>
  <c r="S75" i="4"/>
  <c r="S76" i="4"/>
  <c r="S77" i="4"/>
  <c r="W77" i="4"/>
  <c r="W76" i="4"/>
  <c r="V34" i="4"/>
  <c r="I9" i="4" s="1"/>
  <c r="V37" i="4"/>
  <c r="I10" i="4" s="1"/>
  <c r="I15" i="4"/>
  <c r="I19" i="4" s="1"/>
  <c r="R40" i="4"/>
  <c r="R42" i="4"/>
  <c r="R41" i="4" s="1"/>
  <c r="T34" i="4"/>
  <c r="S42" i="4"/>
  <c r="S40" i="4"/>
  <c r="T35" i="4"/>
  <c r="T36" i="4"/>
  <c r="T37" i="4"/>
  <c r="V38" i="4"/>
  <c r="I25" i="4"/>
  <c r="P35" i="4"/>
  <c r="T51" i="4"/>
  <c r="T52" i="4"/>
  <c r="T53" i="4"/>
  <c r="T54" i="4"/>
  <c r="S34" i="4"/>
  <c r="S35" i="4"/>
  <c r="S36" i="4"/>
  <c r="S37" i="4"/>
  <c r="V35" i="4"/>
  <c r="V39" i="4"/>
  <c r="I22" i="4" s="1"/>
  <c r="S51" i="4"/>
  <c r="S52" i="4"/>
  <c r="S53" i="4"/>
  <c r="S54" i="4"/>
  <c r="Y67" i="4"/>
  <c r="T73" i="4"/>
  <c r="Y72" i="4"/>
  <c r="X72" i="4"/>
  <c r="T72" i="4"/>
  <c r="S72" i="4"/>
  <c r="R72" i="4"/>
  <c r="T71" i="4"/>
  <c r="Y69" i="4"/>
  <c r="Y70" i="4" s="1"/>
  <c r="X69" i="4"/>
  <c r="X70" i="4"/>
  <c r="T70" i="4"/>
  <c r="S69" i="4"/>
  <c r="R69" i="4"/>
  <c r="T69" i="4"/>
  <c r="Z58" i="4"/>
  <c r="Z59" i="4"/>
  <c r="Z60" i="4"/>
  <c r="Z61" i="4"/>
  <c r="Z62" i="4"/>
  <c r="Z63" i="4"/>
  <c r="AA58" i="4"/>
  <c r="AA59" i="4"/>
  <c r="AA60" i="4"/>
  <c r="AA61" i="4"/>
  <c r="AA62" i="4"/>
  <c r="AA63" i="4"/>
  <c r="AB65" i="4"/>
  <c r="AB61" i="4"/>
  <c r="AC61" i="4"/>
  <c r="AD61" i="4" s="1"/>
  <c r="AB66" i="4" s="1"/>
  <c r="AB63" i="4"/>
  <c r="AD62" i="4"/>
  <c r="AD63" i="4"/>
  <c r="V68" i="4"/>
  <c r="J68" i="4"/>
  <c r="V67" i="4"/>
  <c r="C63" i="4" s="1"/>
  <c r="J65" i="4"/>
  <c r="AA57" i="4"/>
  <c r="T40" i="4"/>
  <c r="T41" i="4"/>
  <c r="T42" i="4"/>
  <c r="T43" i="4"/>
  <c r="T44" i="4"/>
  <c r="T46" i="4"/>
  <c r="T47" i="4"/>
  <c r="T48" i="4"/>
  <c r="T49" i="4"/>
  <c r="T50" i="4"/>
  <c r="T56" i="4"/>
  <c r="Z34" i="4"/>
  <c r="Z35" i="4"/>
  <c r="Z36" i="4"/>
  <c r="Z37" i="4"/>
  <c r="Z38" i="4"/>
  <c r="Z39" i="4"/>
  <c r="AA34" i="4"/>
  <c r="AA35" i="4"/>
  <c r="AA36" i="4"/>
  <c r="AA37" i="4"/>
  <c r="AA38" i="4"/>
  <c r="AA39" i="4"/>
  <c r="AB41" i="4"/>
  <c r="AB37" i="4"/>
  <c r="AC37" i="4" s="1"/>
  <c r="AD37" i="4" s="1"/>
  <c r="AB42" i="4" s="1"/>
  <c r="AB39" i="4"/>
  <c r="AD38" i="4"/>
  <c r="AD39" i="4"/>
  <c r="Y44" i="4"/>
  <c r="Y49" i="4"/>
  <c r="X49" i="4"/>
  <c r="S49" i="4"/>
  <c r="R49" i="4"/>
  <c r="R47" i="4" s="1"/>
  <c r="Y46" i="4"/>
  <c r="X46" i="4"/>
  <c r="S46" i="4"/>
  <c r="S47" i="4" s="1"/>
  <c r="R46" i="4"/>
  <c r="V45" i="4"/>
  <c r="J45" i="4"/>
  <c r="V44" i="4"/>
  <c r="C40" i="4"/>
  <c r="Y42" i="4"/>
  <c r="X42" i="4"/>
  <c r="J42" i="4"/>
  <c r="Y40" i="4"/>
  <c r="X40" i="4"/>
  <c r="X41" i="4"/>
  <c r="V41" i="4"/>
  <c r="C19" i="4"/>
  <c r="V36" i="4"/>
  <c r="B11" i="4" s="1"/>
  <c r="AA33" i="4"/>
  <c r="T10" i="4"/>
  <c r="T11" i="4"/>
  <c r="T12" i="4"/>
  <c r="T13" i="4"/>
  <c r="T14" i="4"/>
  <c r="T15" i="4"/>
  <c r="T16" i="4"/>
  <c r="T17" i="4"/>
  <c r="T18" i="4"/>
  <c r="T19" i="4"/>
  <c r="T20" i="4"/>
  <c r="T21" i="4"/>
  <c r="T22" i="4"/>
  <c r="T23" i="4"/>
  <c r="T24" i="4"/>
  <c r="T25" i="4"/>
  <c r="Y25" i="4"/>
  <c r="S25" i="4"/>
  <c r="Y24" i="4"/>
  <c r="S24" i="4"/>
  <c r="Y23" i="4"/>
  <c r="S23" i="4"/>
  <c r="Y22" i="4"/>
  <c r="S22" i="4"/>
  <c r="Y21" i="4"/>
  <c r="S21" i="4"/>
  <c r="Y20" i="4"/>
  <c r="S20" i="4"/>
  <c r="Y19" i="4"/>
  <c r="S19" i="4"/>
  <c r="Y18" i="4"/>
  <c r="S18" i="4"/>
  <c r="Y17" i="4"/>
  <c r="S17" i="4"/>
  <c r="Y16" i="4"/>
  <c r="S16" i="4"/>
  <c r="Y15" i="4"/>
  <c r="S15" i="4"/>
  <c r="Y14" i="4"/>
  <c r="S14" i="4"/>
  <c r="Y13" i="4"/>
  <c r="S13" i="4"/>
  <c r="Y12" i="4"/>
  <c r="S12" i="4"/>
  <c r="Y11" i="4"/>
  <c r="S11" i="4"/>
  <c r="Y10" i="4"/>
  <c r="S10" i="4"/>
  <c r="C19" i="1"/>
  <c r="V36" i="1"/>
  <c r="B11" i="1" s="1"/>
  <c r="AI52" i="1"/>
  <c r="AI54" i="1"/>
  <c r="V50" i="1"/>
  <c r="C40" i="1" s="1"/>
  <c r="S75" i="1"/>
  <c r="S76" i="1"/>
  <c r="S77" i="1"/>
  <c r="T56" i="1"/>
  <c r="T46" i="1"/>
  <c r="T47" i="1"/>
  <c r="T48" i="1"/>
  <c r="T49" i="1"/>
  <c r="T50" i="1"/>
  <c r="AJ46" i="1"/>
  <c r="AJ47" i="1"/>
  <c r="AJ48" i="1"/>
  <c r="AJ49" i="1"/>
  <c r="AJ50" i="1"/>
  <c r="W80" i="1"/>
  <c r="W77" i="1"/>
  <c r="W76" i="1"/>
  <c r="T73" i="1"/>
  <c r="Y72" i="1"/>
  <c r="X72" i="1"/>
  <c r="T72" i="1"/>
  <c r="R72" i="1"/>
  <c r="S74" i="1" s="1"/>
  <c r="T71" i="1"/>
  <c r="Y69" i="1"/>
  <c r="Y70" i="1" s="1"/>
  <c r="X69" i="1"/>
  <c r="T70" i="1"/>
  <c r="R69" i="1"/>
  <c r="T69" i="1"/>
  <c r="Z58" i="1"/>
  <c r="Z59" i="1"/>
  <c r="Z60" i="1"/>
  <c r="Z61" i="1"/>
  <c r="Z62" i="1"/>
  <c r="Z63" i="1"/>
  <c r="AA58" i="1"/>
  <c r="AA59" i="1"/>
  <c r="AA60" i="1"/>
  <c r="AA61" i="1"/>
  <c r="AA62" i="1"/>
  <c r="AA63" i="1"/>
  <c r="AB65" i="1"/>
  <c r="AB61" i="1"/>
  <c r="AC61" i="1" s="1"/>
  <c r="AD61" i="1" s="1"/>
  <c r="AB66" i="1" s="1"/>
  <c r="AB63" i="1"/>
  <c r="AD62" i="1"/>
  <c r="AD63" i="1"/>
  <c r="V67" i="1"/>
  <c r="C63" i="1" s="1"/>
  <c r="AA57" i="1"/>
  <c r="AO49" i="1"/>
  <c r="AN49" i="1"/>
  <c r="AO46" i="1"/>
  <c r="AN46" i="1"/>
  <c r="AA33" i="1"/>
  <c r="T10" i="1"/>
  <c r="T11" i="1"/>
  <c r="T12" i="1"/>
  <c r="T13" i="1"/>
  <c r="T14" i="1"/>
  <c r="T15" i="1"/>
  <c r="T16" i="1"/>
  <c r="T17" i="1"/>
  <c r="T18" i="1"/>
  <c r="T19" i="1"/>
  <c r="T20" i="1"/>
  <c r="T21" i="1"/>
  <c r="T22" i="1"/>
  <c r="T23" i="1"/>
  <c r="T24" i="1"/>
  <c r="T25" i="1"/>
  <c r="Y25" i="1"/>
  <c r="S25" i="1"/>
  <c r="Y24" i="1"/>
  <c r="S24" i="1"/>
  <c r="Y23" i="1"/>
  <c r="S23" i="1"/>
  <c r="Y22" i="1"/>
  <c r="S22" i="1"/>
  <c r="Y21" i="1"/>
  <c r="S21" i="1"/>
  <c r="Y20" i="1"/>
  <c r="S20" i="1"/>
  <c r="Y19" i="1"/>
  <c r="S19" i="1"/>
  <c r="Y18" i="1"/>
  <c r="S18" i="1"/>
  <c r="Y17" i="1"/>
  <c r="S17" i="1"/>
  <c r="Y16" i="1"/>
  <c r="S16" i="1"/>
  <c r="Y15" i="1"/>
  <c r="S15" i="1"/>
  <c r="Y14" i="1"/>
  <c r="S14" i="1"/>
  <c r="Y13" i="1"/>
  <c r="S13" i="1"/>
  <c r="Y12" i="1"/>
  <c r="S12" i="1"/>
  <c r="Y11" i="1"/>
  <c r="S11" i="1"/>
  <c r="Y10" i="1"/>
  <c r="S10" i="1"/>
  <c r="X78" i="4"/>
  <c r="W79" i="4"/>
  <c r="Y79" i="4" s="1"/>
  <c r="I46" i="4"/>
  <c r="I69" i="4"/>
  <c r="X80" i="4"/>
  <c r="AI53" i="1"/>
  <c r="X47" i="4" l="1"/>
  <c r="T26" i="1"/>
  <c r="AA40" i="4"/>
  <c r="AB67" i="4"/>
  <c r="AB67" i="1"/>
  <c r="S70" i="4"/>
  <c r="S55" i="4"/>
  <c r="I42" i="4" s="1"/>
  <c r="I44" i="4" s="1"/>
  <c r="I49" i="4" s="1"/>
  <c r="T26" i="4"/>
  <c r="Z40" i="4"/>
  <c r="S41" i="4"/>
  <c r="R47" i="1"/>
  <c r="AO47" i="1"/>
  <c r="AB40" i="4"/>
  <c r="Y76" i="4"/>
  <c r="Z80" i="4" s="1"/>
  <c r="Z81" i="4" s="1"/>
  <c r="AA64" i="1"/>
  <c r="Y47" i="4"/>
  <c r="AA64" i="4"/>
  <c r="S78" i="4"/>
  <c r="I65" i="4" s="1"/>
  <c r="I67" i="4" s="1"/>
  <c r="I72" i="4" s="1"/>
  <c r="T78" i="4"/>
  <c r="I68" i="4" s="1"/>
  <c r="I70" i="4" s="1"/>
  <c r="I73" i="4" s="1"/>
  <c r="S70" i="1"/>
  <c r="R70" i="4"/>
  <c r="S38" i="4"/>
  <c r="I21" i="4" s="1"/>
  <c r="I23" i="4" s="1"/>
  <c r="I28" i="4" s="1"/>
  <c r="J32" i="4" s="1"/>
  <c r="I40" i="4" s="1"/>
  <c r="J52" i="4" s="1"/>
  <c r="I63" i="4" s="1"/>
  <c r="J75" i="4" s="1"/>
  <c r="T55" i="4"/>
  <c r="I45" i="4" s="1"/>
  <c r="I47" i="4" s="1"/>
  <c r="I50" i="4" s="1"/>
  <c r="J53" i="4" s="1"/>
  <c r="K63" i="4" s="1"/>
  <c r="J76" i="4" s="1"/>
  <c r="AM51" i="1"/>
  <c r="AP51" i="1" s="1"/>
  <c r="Z64" i="1"/>
  <c r="Y41" i="4"/>
  <c r="AB43" i="4"/>
  <c r="Z64" i="4"/>
  <c r="AB64" i="4" s="1"/>
  <c r="AB68" i="4" s="1"/>
  <c r="T38" i="4"/>
  <c r="I24" i="4" s="1"/>
  <c r="I26" i="4" s="1"/>
  <c r="I29" i="4" s="1"/>
  <c r="J33" i="4" s="1"/>
  <c r="K40" i="4" s="1"/>
  <c r="R70" i="1"/>
  <c r="T74" i="1" s="1"/>
  <c r="X70" i="1"/>
  <c r="T76" i="1" s="1"/>
  <c r="S78" i="1"/>
  <c r="I65" i="1" s="1"/>
  <c r="AH47" i="1"/>
  <c r="AJ51" i="1" s="1"/>
  <c r="AN47" i="1"/>
  <c r="AJ53" i="1" s="1"/>
  <c r="S47" i="1"/>
  <c r="T35" i="1" s="1"/>
  <c r="X78" i="1"/>
  <c r="AI55" i="1"/>
  <c r="AI47" i="1"/>
  <c r="AJ52" i="1" s="1"/>
  <c r="T34" i="1"/>
  <c r="T57" i="1"/>
  <c r="Y47" i="1"/>
  <c r="X47" i="1"/>
  <c r="S40" i="1"/>
  <c r="I21" i="1" s="1"/>
  <c r="I23" i="1" s="1"/>
  <c r="I28" i="1" s="1"/>
  <c r="J32" i="1" s="1"/>
  <c r="AB44" i="4"/>
  <c r="W51" i="4" s="1"/>
  <c r="B39" i="4" s="1"/>
  <c r="X82" i="4"/>
  <c r="Y80" i="4" s="1"/>
  <c r="W74" i="4" s="1"/>
  <c r="B62" i="4" s="1"/>
  <c r="I43" i="4"/>
  <c r="W79" i="1"/>
  <c r="Y79" i="1" s="1"/>
  <c r="I66" i="4"/>
  <c r="W78" i="1"/>
  <c r="Y78" i="1" s="1"/>
  <c r="Y76" i="1" s="1"/>
  <c r="T57" i="4" l="1"/>
  <c r="AB64" i="1"/>
  <c r="AB68" i="1" s="1"/>
  <c r="T78" i="1"/>
  <c r="I68" i="1" s="1"/>
  <c r="B39" i="1"/>
  <c r="AJ55" i="1"/>
  <c r="I45" i="1" s="1"/>
  <c r="T40" i="1"/>
  <c r="Z80" i="1"/>
  <c r="Z81" i="1" s="1"/>
  <c r="X82" i="1"/>
  <c r="Y80" i="1" s="1"/>
  <c r="W74" i="1" s="1"/>
  <c r="E45" i="1"/>
  <c r="B52" i="1"/>
  <c r="I42" i="1"/>
  <c r="F46" i="1"/>
  <c r="F40" i="1"/>
  <c r="E42" i="1"/>
  <c r="B53" i="1"/>
  <c r="L40" i="1"/>
  <c r="I40" i="1"/>
  <c r="J40" i="1"/>
  <c r="J46" i="1"/>
  <c r="I46" i="1"/>
  <c r="F39" i="1"/>
  <c r="J45" i="1"/>
  <c r="F50" i="1"/>
  <c r="F41" i="1"/>
  <c r="J43" i="1"/>
  <c r="F49" i="1"/>
  <c r="I43" i="1"/>
  <c r="J42" i="1"/>
  <c r="F43" i="1"/>
  <c r="I24" i="1" l="1"/>
  <c r="I26" i="1" s="1"/>
  <c r="I44" i="1"/>
  <c r="I49" i="1" s="1"/>
  <c r="J52" i="1" s="1"/>
  <c r="B62" i="1"/>
  <c r="Z74" i="1"/>
  <c r="I29" i="1" l="1"/>
  <c r="J68" i="1"/>
  <c r="F69" i="1"/>
  <c r="E68" i="1"/>
  <c r="F72" i="1"/>
  <c r="J65" i="1"/>
  <c r="L63" i="1"/>
  <c r="E65" i="1"/>
  <c r="J69" i="1"/>
  <c r="B76" i="1"/>
  <c r="F62" i="1"/>
  <c r="J66" i="1"/>
  <c r="J63" i="1"/>
  <c r="F66" i="1"/>
  <c r="F64" i="1"/>
  <c r="I66" i="1"/>
  <c r="I63" i="1"/>
  <c r="B75" i="1"/>
  <c r="F63" i="1"/>
  <c r="F73" i="1"/>
  <c r="I69" i="1"/>
  <c r="I67" i="1" l="1"/>
  <c r="I72" i="1" s="1"/>
  <c r="J75" i="1" s="1"/>
  <c r="J33" i="1"/>
  <c r="K40" i="1" s="1"/>
  <c r="I47" i="1" l="1"/>
  <c r="I50" i="1" s="1"/>
  <c r="J53" i="1" s="1"/>
  <c r="K63" i="1" s="1"/>
  <c r="I70" i="1" l="1"/>
  <c r="I73" i="1" s="1"/>
  <c r="J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John Sokolik</author>
    <author>John &amp; Carole Sokolik</author>
    <author>John  Sokolik</author>
  </authors>
  <commentList>
    <comment ref="F8" authorId="0" shapeId="0" xr:uid="{00000000-0006-0000-0000-000001000000}">
      <text>
        <r>
          <rPr>
            <sz val="8"/>
            <color indexed="81"/>
            <rFont val="Tahoma"/>
            <family val="2"/>
          </rPr>
          <t>When the fault current is provided by the governing utility insert the value here. 
KVA and transformer impedence is not required to continue.
Go to  L=   ,and  insert footage of conductor length.</t>
        </r>
      </text>
    </comment>
    <comment ref="I8" authorId="0" shapeId="0" xr:uid="{00000000-0006-0000-0000-000002000000}">
      <text>
        <r>
          <rPr>
            <sz val="8"/>
            <color indexed="81"/>
            <rFont val="Tahoma"/>
            <family val="2"/>
          </rPr>
          <t>If you have inserted the Utility Fault Current amps, inserting the kVA in this cell is not required.
If available fault current is not known, insert transformer kVA rating here.</t>
        </r>
      </text>
    </comment>
    <comment ref="I9" authorId="1" shapeId="0" xr:uid="{00000000-0006-0000-0000-000003000000}">
      <text>
        <r>
          <rPr>
            <sz val="8"/>
            <color indexed="81"/>
            <rFont val="Tahoma"/>
            <family val="2"/>
          </rPr>
          <t xml:space="preserve">
This value will be filled in when you 'Select Voltage &amp; Phase' from the first dropdown box
</t>
        </r>
      </text>
    </comment>
    <comment ref="I14" authorId="0" shapeId="0" xr:uid="{00000000-0006-0000-0000-000004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0" shapeId="0" xr:uid="{00000000-0006-0000-0000-000005000000}">
      <text>
        <r>
          <rPr>
            <sz val="8"/>
            <color indexed="81"/>
            <rFont val="Tahoma"/>
            <family val="2"/>
          </rPr>
          <t xml:space="preserve">Enter the length of one phase conductor in the group </t>
        </r>
      </text>
    </comment>
    <comment ref="I20" authorId="0" shapeId="0" xr:uid="{00000000-0006-0000-0000-000006000000}">
      <text>
        <r>
          <rPr>
            <sz val="8"/>
            <color indexed="81"/>
            <rFont val="Tahoma"/>
            <family val="2"/>
          </rPr>
          <t>Enter the number of electrical conductors per phase between the transformer and the  equipment</t>
        </r>
      </text>
    </comment>
    <comment ref="I21" authorId="0" shapeId="0" xr:uid="{00000000-0006-0000-0000-000007000000}">
      <text>
        <r>
          <rPr>
            <sz val="8"/>
            <color indexed="81"/>
            <rFont val="Tahoma"/>
            <family val="2"/>
          </rPr>
          <t>Select a conductor and raceway from the top drop down box 
Then select phase conductor size from AWG drop down box.</t>
        </r>
      </text>
    </comment>
    <comment ref="I24" authorId="2" shapeId="0" xr:uid="{00000000-0006-0000-0000-000008000000}">
      <text>
        <r>
          <rPr>
            <sz val="8"/>
            <color indexed="81"/>
            <rFont val="Tahoma"/>
            <family val="2"/>
          </rPr>
          <t>Select neutral conductor size from AWG drop down box.</t>
        </r>
      </text>
    </comment>
    <comment ref="V34" authorId="2" shapeId="0" xr:uid="{00000000-0006-0000-0000-000009000000}">
      <text>
        <r>
          <rPr>
            <b/>
            <sz val="8"/>
            <color indexed="81"/>
            <rFont val="Tahoma"/>
            <family val="2"/>
          </rPr>
          <t>=choose(U34,0,208,208,480,480)</t>
        </r>
        <r>
          <rPr>
            <sz val="8"/>
            <color indexed="81"/>
            <rFont val="Tahoma"/>
            <family val="2"/>
          </rPr>
          <t xml:space="preserve">
   Link to cell I9 for select voltage</t>
        </r>
      </text>
    </comment>
    <comment ref="P35" authorId="1" shapeId="0" xr:uid="{00000000-0006-0000-0000-00000A000000}">
      <text>
        <r>
          <rPr>
            <sz val="8"/>
            <color indexed="81"/>
            <rFont val="Tahoma"/>
            <family val="2"/>
          </rPr>
          <t>Neutral , Choose formula ref point</t>
        </r>
      </text>
    </comment>
    <comment ref="V35" authorId="2" shapeId="0" xr:uid="{00000000-0006-0000-0000-00000B000000}">
      <text>
        <r>
          <rPr>
            <b/>
            <sz val="8"/>
            <color indexed="81"/>
            <rFont val="Tahoma"/>
            <family val="2"/>
          </rPr>
          <t>=choose(U34,0,240,208,208,480,480)</t>
        </r>
        <r>
          <rPr>
            <sz val="8"/>
            <color indexed="81"/>
            <rFont val="Tahoma"/>
            <family val="2"/>
          </rPr>
          <t xml:space="preserve">
   Link to cell I9 for select voltage</t>
        </r>
      </text>
    </comment>
    <comment ref="V36" authorId="2" shapeId="0" xr:uid="{00000000-0006-0000-0000-00000C000000}">
      <text>
        <r>
          <rPr>
            <b/>
            <sz val="8"/>
            <color indexed="81"/>
            <rFont val="Tahoma"/>
            <family val="2"/>
          </rPr>
          <t>=choose(U34,0,208,208,480,480)</t>
        </r>
        <r>
          <rPr>
            <sz val="8"/>
            <color indexed="81"/>
            <rFont val="Tahoma"/>
            <family val="2"/>
          </rPr>
          <t xml:space="preserve">
   Link to cell I9 for select voltage</t>
        </r>
      </text>
    </comment>
    <comment ref="V37" authorId="2" shapeId="0" xr:uid="{00000000-0006-0000-0000-00000D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V38" authorId="2" shapeId="0" xr:uid="{00000000-0006-0000-0000-00000E000000}">
      <text>
        <r>
          <rPr>
            <b/>
            <sz val="8"/>
            <color indexed="81"/>
            <rFont val="Tahoma"/>
            <family val="2"/>
          </rPr>
          <t>=choose(U34,0,120,120,120,277,277)</t>
        </r>
        <r>
          <rPr>
            <sz val="8"/>
            <color indexed="81"/>
            <rFont val="Tahoma"/>
            <family val="2"/>
          </rPr>
          <t xml:space="preserve">
   Link to nuetral voltage</t>
        </r>
      </text>
    </comment>
    <comment ref="V39" authorId="2" shapeId="0" xr:uid="{00000000-0006-0000-0000-00000F000000}">
      <text>
        <r>
          <rPr>
            <b/>
            <sz val="8"/>
            <color indexed="81"/>
            <rFont val="Tahoma"/>
            <family val="2"/>
          </rPr>
          <t>=choose(U34,0,240,208,208,480,480)</t>
        </r>
        <r>
          <rPr>
            <sz val="8"/>
            <color indexed="81"/>
            <rFont val="Tahoma"/>
            <family val="2"/>
          </rPr>
          <t xml:space="preserve">
   Link to line to line voltage</t>
        </r>
      </text>
    </comment>
    <comment ref="I40" authorId="2" shapeId="0" xr:uid="{00000000-0006-0000-0000-000010000000}">
      <text>
        <r>
          <rPr>
            <b/>
            <sz val="8"/>
            <color indexed="81"/>
            <rFont val="Tahoma"/>
            <family val="2"/>
          </rPr>
          <t>Data from above calculation</t>
        </r>
        <r>
          <rPr>
            <sz val="8"/>
            <color indexed="81"/>
            <rFont val="Tahoma"/>
            <family val="2"/>
          </rPr>
          <t xml:space="preserve">
</t>
        </r>
      </text>
    </comment>
    <comment ref="K40" authorId="2" shapeId="0" xr:uid="{00000000-0006-0000-0000-000011000000}">
      <text>
        <r>
          <rPr>
            <b/>
            <sz val="8"/>
            <color indexed="81"/>
            <rFont val="Tahoma"/>
            <family val="2"/>
          </rPr>
          <t>Data from above calculation</t>
        </r>
      </text>
    </comment>
    <comment ref="V41" authorId="2" shapeId="0" xr:uid="{00000000-0006-0000-0000-000012000000}">
      <text>
        <r>
          <rPr>
            <b/>
            <sz val="8"/>
            <color indexed="81"/>
            <rFont val="Tahoma"/>
            <family val="2"/>
          </rPr>
          <t>=choose(U34,0,240,208,208,480,480)</t>
        </r>
        <r>
          <rPr>
            <sz val="8"/>
            <color indexed="81"/>
            <rFont val="Tahoma"/>
            <family val="2"/>
          </rPr>
          <t xml:space="preserve">
   Link to cell I9 for select voltage</t>
        </r>
      </text>
    </comment>
    <comment ref="I42" authorId="0" shapeId="0" xr:uid="{00000000-0006-0000-0000-000013000000}">
      <text>
        <r>
          <rPr>
            <sz val="8"/>
            <color indexed="81"/>
            <rFont val="Tahoma"/>
            <family val="2"/>
          </rPr>
          <t>To select a conductor check the appropriate box to the right of the largest phase conductor</t>
        </r>
      </text>
    </comment>
    <comment ref="V44" authorId="2" shapeId="0" xr:uid="{00000000-0006-0000-0000-000014000000}">
      <text>
        <r>
          <rPr>
            <b/>
            <sz val="8"/>
            <color indexed="81"/>
            <rFont val="Tahoma"/>
            <family val="2"/>
          </rPr>
          <t>=choose(U34,0,240,208,208,480,480)</t>
        </r>
        <r>
          <rPr>
            <sz val="8"/>
            <color indexed="81"/>
            <rFont val="Tahoma"/>
            <family val="2"/>
          </rPr>
          <t xml:space="preserve">
   Link to cell I9 for select voltage</t>
        </r>
      </text>
    </comment>
    <comment ref="P49" authorId="2" shapeId="0" xr:uid="{00000000-0006-0000-0000-000015000000}">
      <text>
        <r>
          <rPr>
            <b/>
            <sz val="8"/>
            <color indexed="81"/>
            <rFont val="Tahoma"/>
            <family val="2"/>
          </rPr>
          <t>Link cell to conductor size</t>
        </r>
        <r>
          <rPr>
            <sz val="8"/>
            <color indexed="81"/>
            <rFont val="Tahoma"/>
            <family val="2"/>
          </rPr>
          <t xml:space="preserve">
</t>
        </r>
      </text>
    </comment>
    <comment ref="V49" authorId="2" shapeId="0" xr:uid="{00000000-0006-0000-0000-000016000000}">
      <text>
        <r>
          <rPr>
            <b/>
            <sz val="8"/>
            <color indexed="81"/>
            <rFont val="Tahoma"/>
            <family val="2"/>
          </rPr>
          <t>Link cell to conductor size</t>
        </r>
        <r>
          <rPr>
            <sz val="8"/>
            <color indexed="81"/>
            <rFont val="Tahoma"/>
            <family val="2"/>
          </rPr>
          <t xml:space="preserve">
</t>
        </r>
      </text>
    </comment>
    <comment ref="I63" authorId="2" shapeId="0" xr:uid="{00000000-0006-0000-0000-000017000000}">
      <text>
        <r>
          <rPr>
            <b/>
            <sz val="8"/>
            <color indexed="81"/>
            <rFont val="Tahoma"/>
            <family val="2"/>
          </rPr>
          <t>Data from above calculation</t>
        </r>
        <r>
          <rPr>
            <sz val="8"/>
            <color indexed="81"/>
            <rFont val="Tahoma"/>
            <family val="2"/>
          </rPr>
          <t xml:space="preserve">
</t>
        </r>
      </text>
    </comment>
    <comment ref="K63" authorId="2" shapeId="0" xr:uid="{00000000-0006-0000-0000-000018000000}">
      <text>
        <r>
          <rPr>
            <b/>
            <sz val="8"/>
            <color indexed="81"/>
            <rFont val="Tahoma"/>
            <family val="2"/>
          </rPr>
          <t>Data from above calculation</t>
        </r>
      </text>
    </comment>
    <comment ref="I65" authorId="0" shapeId="0" xr:uid="{00000000-0006-0000-0000-000019000000}">
      <text>
        <r>
          <rPr>
            <sz val="8"/>
            <color indexed="81"/>
            <rFont val="Tahoma"/>
            <family val="2"/>
          </rPr>
          <t>To select a conductor check the appropriate box to the right of the largest phase conductor</t>
        </r>
      </text>
    </comment>
    <comment ref="V67" authorId="2" shapeId="0" xr:uid="{00000000-0006-0000-0000-00001A000000}">
      <text>
        <r>
          <rPr>
            <b/>
            <sz val="8"/>
            <color indexed="81"/>
            <rFont val="Tahoma"/>
            <family val="2"/>
          </rPr>
          <t>=choose(U34,0,240,208,208,480,480)</t>
        </r>
        <r>
          <rPr>
            <sz val="8"/>
            <color indexed="81"/>
            <rFont val="Tahoma"/>
            <family val="2"/>
          </rPr>
          <t xml:space="preserve">
   Link to cell I9 for select voltage</t>
        </r>
      </text>
    </comment>
    <comment ref="P72" authorId="2" shapeId="0" xr:uid="{00000000-0006-0000-0000-00001B000000}">
      <text>
        <r>
          <rPr>
            <b/>
            <sz val="8"/>
            <color indexed="81"/>
            <rFont val="Tahoma"/>
            <family val="2"/>
          </rPr>
          <t>Link cell to conductor size</t>
        </r>
        <r>
          <rPr>
            <sz val="8"/>
            <color indexed="81"/>
            <rFont val="Tahoma"/>
            <family val="2"/>
          </rPr>
          <t xml:space="preserve">
</t>
        </r>
      </text>
    </comment>
    <comment ref="V72" authorId="2" shapeId="0" xr:uid="{00000000-0006-0000-0000-00001C000000}">
      <text>
        <r>
          <rPr>
            <b/>
            <sz val="8"/>
            <color indexed="81"/>
            <rFont val="Tahoma"/>
            <family val="2"/>
          </rPr>
          <t>Link cell to conductor size</t>
        </r>
        <r>
          <rPr>
            <sz val="8"/>
            <color indexed="81"/>
            <rFont val="Tahoma"/>
            <family val="2"/>
          </rPr>
          <t xml:space="preserve">
</t>
        </r>
      </text>
    </comment>
    <comment ref="W79" authorId="3" shapeId="0" xr:uid="{00000000-0006-0000-0000-00001D000000}">
      <text>
        <r>
          <rPr>
            <b/>
            <sz val="8"/>
            <color indexed="81"/>
            <rFont val="Tahoma"/>
            <family val="2"/>
          </rPr>
          <t>when cell = -1 then feeder is 3ph</t>
        </r>
        <r>
          <rPr>
            <sz val="8"/>
            <color indexed="81"/>
            <rFont val="Tahoma"/>
            <family val="2"/>
          </rPr>
          <t xml:space="preserve">
</t>
        </r>
      </text>
    </comment>
    <comment ref="X79" authorId="3" shapeId="0" xr:uid="{00000000-0006-0000-0000-00001E000000}">
      <text>
        <r>
          <rPr>
            <b/>
            <sz val="8"/>
            <color indexed="81"/>
            <rFont val="Tahoma"/>
            <family val="2"/>
          </rPr>
          <t>if cell = 1 then branch is 1ph</t>
        </r>
        <r>
          <rPr>
            <sz val="8"/>
            <color indexed="81"/>
            <rFont val="Tahoma"/>
            <family val="2"/>
          </rPr>
          <t xml:space="preserve">
</t>
        </r>
      </text>
    </comment>
    <comment ref="W80" authorId="3" shapeId="0" xr:uid="{00000000-0006-0000-0000-00001F000000}">
      <text>
        <r>
          <rPr>
            <b/>
            <sz val="8"/>
            <color indexed="81"/>
            <rFont val="Tahoma"/>
            <family val="2"/>
          </rPr>
          <t>when cell = -1 then feeder is 3ph</t>
        </r>
        <r>
          <rPr>
            <sz val="8"/>
            <color indexed="81"/>
            <rFont val="Tahoma"/>
            <family val="2"/>
          </rPr>
          <t xml:space="preserve">
</t>
        </r>
      </text>
    </comment>
    <comment ref="X80" authorId="3" shapeId="0" xr:uid="{00000000-0006-0000-0000-000020000000}">
      <text>
        <r>
          <rPr>
            <b/>
            <sz val="8"/>
            <color indexed="81"/>
            <rFont val="Tahoma"/>
            <family val="2"/>
          </rPr>
          <t>if cell = 1 then branch is 1ph</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Sokolik</author>
    <author>A satisfied Microsoft Office user</author>
    <author>User</author>
    <author>John</author>
    <author>John &amp; Carole Sokolik</author>
    <author>John DeLong</author>
    <author>John  Sokolik</author>
  </authors>
  <commentList>
    <comment ref="DN7" authorId="0" shapeId="0" xr:uid="{00000000-0006-0000-0100-000001000000}">
      <text>
        <r>
          <rPr>
            <b/>
            <sz val="8"/>
            <color indexed="81"/>
            <rFont val="Tahoma"/>
            <family val="2"/>
          </rPr>
          <t>Any cell with a red corner has a comment to help guide you through this calculation.</t>
        </r>
        <r>
          <rPr>
            <sz val="8"/>
            <color indexed="81"/>
            <rFont val="Tahoma"/>
            <family val="2"/>
          </rPr>
          <t xml:space="preserve">
</t>
        </r>
        <r>
          <rPr>
            <b/>
            <sz val="8"/>
            <color indexed="81"/>
            <rFont val="Tahoma"/>
            <family val="2"/>
          </rPr>
          <t>Just place your cursor over the yellow cell and the comment box will open.
Not all yellow cells need to have data inserted, they are the first three input cells identified as step 1a or 1b in the example sheet.</t>
        </r>
      </text>
    </comment>
    <comment ref="F8" authorId="1" shapeId="0" xr:uid="{00000000-0006-0000-0100-000002000000}">
      <text>
        <r>
          <rPr>
            <sz val="8"/>
            <color indexed="81"/>
            <rFont val="Tahoma"/>
            <family val="2"/>
          </rPr>
          <t>When the fault current is provided by the governing utility insert the value here. 
The KVA, power factor (PF) and  impedence (Z) of the transformer is not required to continue.
Go to  L=   ,and  insert footage of conductor length.
Use 'Edit', 'Clear', Comments' to clear any input cell.</t>
        </r>
      </text>
    </comment>
    <comment ref="I8" authorId="1" shapeId="0" xr:uid="{00000000-0006-0000-0100-000003000000}">
      <text>
        <r>
          <rPr>
            <sz val="8"/>
            <color indexed="81"/>
            <rFont val="Tahoma"/>
            <family val="2"/>
          </rPr>
          <t>If you have inserted the Utility Fault Current amps, inserting the kVA in this cell is not required.
If available fault current is not known, insert transformer kVA rating here.</t>
        </r>
      </text>
    </comment>
    <comment ref="I13" authorId="2" shapeId="0" xr:uid="{00000000-0006-0000-0100-000004000000}">
      <text>
        <r>
          <rPr>
            <sz val="8"/>
            <color indexed="81"/>
            <rFont val="Tahoma"/>
            <family val="2"/>
          </rPr>
          <t xml:space="preserve">Inserting a (PF) power factor is only required when using method 1b, see example sheet tab in lower left of the sheet.
The (PF) default for this cell should be 100% unless the power factor is known.
</t>
        </r>
      </text>
    </comment>
    <comment ref="I14" authorId="1" shapeId="0" xr:uid="{00000000-0006-0000-0100-000005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1" shapeId="0" xr:uid="{00000000-0006-0000-0100-000006000000}">
      <text>
        <r>
          <rPr>
            <sz val="8"/>
            <color indexed="81"/>
            <rFont val="Tahoma"/>
            <family val="2"/>
          </rPr>
          <t xml:space="preserve">Enter the length of one phase conductor in the group </t>
        </r>
      </text>
    </comment>
    <comment ref="D19" authorId="3" shapeId="0" xr:uid="{00000000-0006-0000-0100-000007000000}">
      <text>
        <r>
          <rPr>
            <b/>
            <sz val="9"/>
            <color indexed="81"/>
            <rFont val="Tahoma"/>
            <family val="2"/>
          </rPr>
          <t>The 1.5 multiplier applies to neutral  center tapped transformers only</t>
        </r>
        <r>
          <rPr>
            <sz val="9"/>
            <color indexed="81"/>
            <rFont val="Tahoma"/>
            <family val="2"/>
          </rPr>
          <t xml:space="preserve">
</t>
        </r>
      </text>
    </comment>
    <comment ref="I20" authorId="1" shapeId="0" xr:uid="{00000000-0006-0000-0100-000008000000}">
      <text>
        <r>
          <rPr>
            <sz val="8"/>
            <color indexed="81"/>
            <rFont val="Tahoma"/>
            <family val="2"/>
          </rPr>
          <t>Enter the number of electrical conductors per phase between the transformer and the service equipment</t>
        </r>
      </text>
    </comment>
    <comment ref="I21" authorId="1" shapeId="0" xr:uid="{00000000-0006-0000-0100-000009000000}">
      <text>
        <r>
          <rPr>
            <sz val="8"/>
            <color indexed="81"/>
            <rFont val="Tahoma"/>
            <family val="2"/>
          </rPr>
          <t>Select a Phase Cconductor and raceway from the top drop down box 
Then select phase conductor size from AWG drop down box.</t>
        </r>
      </text>
    </comment>
    <comment ref="I24" authorId="4" shapeId="0" xr:uid="{00000000-0006-0000-0100-00000A000000}">
      <text>
        <r>
          <rPr>
            <sz val="8"/>
            <color indexed="81"/>
            <rFont val="Tahoma"/>
            <family val="2"/>
          </rPr>
          <t>Select neutral conductor size from AWG drop down box.</t>
        </r>
      </text>
    </comment>
    <comment ref="V34" authorId="4" shapeId="0" xr:uid="{00000000-0006-0000-0100-00000B000000}">
      <text>
        <r>
          <rPr>
            <b/>
            <sz val="8"/>
            <color indexed="81"/>
            <rFont val="Tahoma"/>
            <family val="2"/>
          </rPr>
          <t>=choose(U34,0,208,208,480,480)</t>
        </r>
        <r>
          <rPr>
            <sz val="8"/>
            <color indexed="81"/>
            <rFont val="Tahoma"/>
            <family val="2"/>
          </rPr>
          <t xml:space="preserve">
   Link to cell I9 for select voltage</t>
        </r>
      </text>
    </comment>
    <comment ref="P35" authorId="0" shapeId="0" xr:uid="{00000000-0006-0000-0100-00000C000000}">
      <text>
        <r>
          <rPr>
            <sz val="8"/>
            <color indexed="81"/>
            <rFont val="Tahoma"/>
            <family val="2"/>
          </rPr>
          <t>Neutral , Choose formula ref point</t>
        </r>
      </text>
    </comment>
    <comment ref="V35" authorId="4" shapeId="0" xr:uid="{00000000-0006-0000-0100-00000D000000}">
      <text>
        <r>
          <rPr>
            <b/>
            <sz val="8"/>
            <color indexed="81"/>
            <rFont val="Tahoma"/>
            <family val="2"/>
          </rPr>
          <t>=choose(U34,0,240,208,208,480,480)</t>
        </r>
        <r>
          <rPr>
            <sz val="8"/>
            <color indexed="81"/>
            <rFont val="Tahoma"/>
            <family val="2"/>
          </rPr>
          <t xml:space="preserve">
   Link to cell I9 for select voltage</t>
        </r>
      </text>
    </comment>
    <comment ref="V36" authorId="4" shapeId="0" xr:uid="{00000000-0006-0000-0100-00000E000000}">
      <text>
        <r>
          <rPr>
            <b/>
            <sz val="8"/>
            <color indexed="81"/>
            <rFont val="Tahoma"/>
            <family val="2"/>
          </rPr>
          <t>=choose(U34,0,208,208,480,480)</t>
        </r>
        <r>
          <rPr>
            <sz val="8"/>
            <color indexed="81"/>
            <rFont val="Tahoma"/>
            <family val="2"/>
          </rPr>
          <t xml:space="preserve">
   Link to cell I9 for select voltage</t>
        </r>
      </text>
    </comment>
    <comment ref="V37" authorId="4" shapeId="0" xr:uid="{00000000-0006-0000-0100-00000F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I39" authorId="5" shapeId="0" xr:uid="{00000000-0006-0000-0100-000010000000}">
      <text>
        <r>
          <rPr>
            <b/>
            <sz val="8"/>
            <color indexed="81"/>
            <rFont val="Tahoma"/>
            <family val="2"/>
          </rPr>
          <t xml:space="preserve">Enter the length of one phase conductor in the group </t>
        </r>
        <r>
          <rPr>
            <sz val="8"/>
            <color indexed="81"/>
            <rFont val="Tahoma"/>
            <family val="2"/>
          </rPr>
          <t xml:space="preserve">
</t>
        </r>
      </text>
    </comment>
    <comment ref="I40" authorId="4" shapeId="0" xr:uid="{00000000-0006-0000-0100-000011000000}">
      <text>
        <r>
          <rPr>
            <b/>
            <sz val="8"/>
            <color indexed="81"/>
            <rFont val="Tahoma"/>
            <family val="2"/>
          </rPr>
          <t>Data from above calculation</t>
        </r>
        <r>
          <rPr>
            <sz val="8"/>
            <color indexed="81"/>
            <rFont val="Tahoma"/>
            <family val="2"/>
          </rPr>
          <t xml:space="preserve">
</t>
        </r>
      </text>
    </comment>
    <comment ref="K40" authorId="4" shapeId="0" xr:uid="{00000000-0006-0000-0100-000012000000}">
      <text>
        <r>
          <rPr>
            <b/>
            <sz val="8"/>
            <color indexed="81"/>
            <rFont val="Tahoma"/>
            <family val="2"/>
          </rPr>
          <t>Data from above calculation</t>
        </r>
      </text>
    </comment>
    <comment ref="V40" authorId="4" shapeId="0" xr:uid="{00000000-0006-0000-0100-000013000000}">
      <text>
        <r>
          <rPr>
            <b/>
            <sz val="8"/>
            <color indexed="81"/>
            <rFont val="Tahoma"/>
            <family val="2"/>
          </rPr>
          <t>=choose(U34,0,120,120,120,277,277)</t>
        </r>
        <r>
          <rPr>
            <sz val="8"/>
            <color indexed="81"/>
            <rFont val="Tahoma"/>
            <family val="2"/>
          </rPr>
          <t xml:space="preserve">
   Link to nuetral voltage</t>
        </r>
      </text>
    </comment>
    <comment ref="I41" authorId="5" shapeId="0" xr:uid="{00000000-0006-0000-0100-000014000000}">
      <text>
        <r>
          <rPr>
            <sz val="8"/>
            <color indexed="81"/>
            <rFont val="Tahoma"/>
            <family val="2"/>
          </rPr>
          <t>Enter the number of electrical conductors per phase between the service equipment and this panel or disconnect.</t>
        </r>
      </text>
    </comment>
    <comment ref="V41" authorId="4" shapeId="0" xr:uid="{00000000-0006-0000-0100-000015000000}">
      <text>
        <r>
          <rPr>
            <b/>
            <sz val="8"/>
            <color indexed="81"/>
            <rFont val="Tahoma"/>
            <family val="2"/>
          </rPr>
          <t>=choose(U34,0,240,208,208,480,480)</t>
        </r>
        <r>
          <rPr>
            <sz val="8"/>
            <color indexed="81"/>
            <rFont val="Tahoma"/>
            <family val="2"/>
          </rPr>
          <t xml:space="preserve">
   Link to line to line voltage</t>
        </r>
      </text>
    </comment>
    <comment ref="AC41" authorId="5" shapeId="0" xr:uid="{00000000-0006-0000-0100-000016000000}">
      <text>
        <r>
          <rPr>
            <b/>
            <sz val="8"/>
            <color indexed="81"/>
            <rFont val="Tahoma"/>
            <family val="2"/>
          </rPr>
          <t>John DeLong:</t>
        </r>
        <r>
          <rPr>
            <sz val="8"/>
            <color indexed="81"/>
            <rFont val="Tahoma"/>
            <family val="2"/>
          </rPr>
          <t xml:space="preserve">
1 SINGLE PHASE
3 THREE PHASE</t>
        </r>
      </text>
    </comment>
    <comment ref="I42" authorId="1" shapeId="0" xr:uid="{00000000-0006-0000-0100-000017000000}">
      <text>
        <r>
          <rPr>
            <sz val="8"/>
            <color indexed="81"/>
            <rFont val="Tahoma"/>
            <family val="2"/>
          </rPr>
          <t>To select a phase conductor constant select the size conductor from the drop-down box to the right.</t>
        </r>
      </text>
    </comment>
    <comment ref="AD44" authorId="5" shapeId="0" xr:uid="{00000000-0006-0000-0100-000018000000}">
      <text>
        <r>
          <rPr>
            <b/>
            <sz val="8"/>
            <color indexed="81"/>
            <rFont val="Tahoma"/>
            <family val="2"/>
          </rPr>
          <t>John DeLong:</t>
        </r>
        <r>
          <rPr>
            <sz val="8"/>
            <color indexed="81"/>
            <rFont val="Tahoma"/>
            <family val="2"/>
          </rPr>
          <t xml:space="preserve">
LINK BETWEEN 1 OR 3 PH SERVICE ENTRANCE DROP DOWN AND 1 OR 3 PH FEEDER DROP DOWN BOXES</t>
        </r>
      </text>
    </comment>
    <comment ref="I45" authorId="5" shapeId="0" xr:uid="{00000000-0006-0000-0100-000019000000}">
      <text>
        <r>
          <rPr>
            <sz val="8"/>
            <color indexed="81"/>
            <rFont val="Tahoma"/>
            <family val="2"/>
          </rPr>
          <t>To select a neutral conductor constant select the size conductor from the drop-down box to the right.</t>
        </r>
        <r>
          <rPr>
            <sz val="8"/>
            <color indexed="81"/>
            <rFont val="Tahoma"/>
            <family val="2"/>
          </rPr>
          <t xml:space="preserve">
</t>
        </r>
      </text>
    </comment>
    <comment ref="V47" authorId="4" shapeId="0" xr:uid="{00000000-0006-0000-0100-00001A000000}">
      <text>
        <r>
          <rPr>
            <b/>
            <sz val="8"/>
            <color indexed="81"/>
            <rFont val="Tahoma"/>
            <family val="2"/>
          </rPr>
          <t>=choose(U34,0,240,208,208,480,480)</t>
        </r>
        <r>
          <rPr>
            <sz val="8"/>
            <color indexed="81"/>
            <rFont val="Tahoma"/>
            <family val="2"/>
          </rPr>
          <t xml:space="preserve">
   Link to cell I9 for select voltage</t>
        </r>
      </text>
    </comment>
    <comment ref="AF49" authorId="4" shapeId="0" xr:uid="{00000000-0006-0000-0100-00001B000000}">
      <text>
        <r>
          <rPr>
            <b/>
            <sz val="8"/>
            <color indexed="81"/>
            <rFont val="Tahoma"/>
            <family val="2"/>
          </rPr>
          <t>Link cell to conductor size</t>
        </r>
        <r>
          <rPr>
            <sz val="8"/>
            <color indexed="81"/>
            <rFont val="Tahoma"/>
            <family val="2"/>
          </rPr>
          <t xml:space="preserve">
</t>
        </r>
      </text>
    </comment>
    <comment ref="AL49" authorId="4" shapeId="0" xr:uid="{00000000-0006-0000-0100-00001C000000}">
      <text>
        <r>
          <rPr>
            <b/>
            <sz val="8"/>
            <color indexed="81"/>
            <rFont val="Tahoma"/>
            <family val="2"/>
          </rPr>
          <t>Link cell to conductor size</t>
        </r>
        <r>
          <rPr>
            <sz val="8"/>
            <color indexed="81"/>
            <rFont val="Tahoma"/>
            <family val="2"/>
          </rPr>
          <t xml:space="preserve">
</t>
        </r>
      </text>
    </comment>
    <comment ref="V50" authorId="4" shapeId="0" xr:uid="{00000000-0006-0000-0100-00001D000000}">
      <text>
        <r>
          <rPr>
            <b/>
            <sz val="8"/>
            <color indexed="81"/>
            <rFont val="Tahoma"/>
            <family val="2"/>
          </rPr>
          <t>=choose(U34,0,240,208,208,480,480)</t>
        </r>
        <r>
          <rPr>
            <sz val="8"/>
            <color indexed="81"/>
            <rFont val="Tahoma"/>
            <family val="2"/>
          </rPr>
          <t xml:space="preserve">
   Link to cell I9 for select voltage</t>
        </r>
      </text>
    </comment>
    <comment ref="I62" authorId="5" shapeId="0" xr:uid="{00000000-0006-0000-0100-00001E000000}">
      <text>
        <r>
          <rPr>
            <sz val="8"/>
            <color indexed="81"/>
            <rFont val="Tahoma"/>
            <family val="2"/>
          </rPr>
          <t xml:space="preserve">Enter the length of one phase conductor in the group </t>
        </r>
      </text>
    </comment>
    <comment ref="I63" authorId="4" shapeId="0" xr:uid="{00000000-0006-0000-0100-00001F000000}">
      <text>
        <r>
          <rPr>
            <b/>
            <sz val="8"/>
            <color indexed="81"/>
            <rFont val="Tahoma"/>
            <family val="2"/>
          </rPr>
          <t>Data from above calculation</t>
        </r>
        <r>
          <rPr>
            <sz val="8"/>
            <color indexed="81"/>
            <rFont val="Tahoma"/>
            <family val="2"/>
          </rPr>
          <t xml:space="preserve">
</t>
        </r>
      </text>
    </comment>
    <comment ref="K63" authorId="4" shapeId="0" xr:uid="{00000000-0006-0000-0100-000020000000}">
      <text>
        <r>
          <rPr>
            <b/>
            <sz val="8"/>
            <color indexed="81"/>
            <rFont val="Tahoma"/>
            <family val="2"/>
          </rPr>
          <t>Data from above calculation</t>
        </r>
      </text>
    </comment>
    <comment ref="I65" authorId="1" shapeId="0" xr:uid="{00000000-0006-0000-0100-000021000000}">
      <text>
        <r>
          <rPr>
            <sz val="8"/>
            <color indexed="81"/>
            <rFont val="Tahoma"/>
            <family val="2"/>
          </rPr>
          <t>To select a phase conductor constant select the size conductor from the drop-down box to the right.</t>
        </r>
      </text>
    </comment>
    <comment ref="V67" authorId="4" shapeId="0" xr:uid="{00000000-0006-0000-0100-000022000000}">
      <text>
        <r>
          <rPr>
            <b/>
            <sz val="8"/>
            <color indexed="81"/>
            <rFont val="Tahoma"/>
            <family val="2"/>
          </rPr>
          <t>=choose(U34,0,240,208,208,480,480)</t>
        </r>
        <r>
          <rPr>
            <sz val="8"/>
            <color indexed="81"/>
            <rFont val="Tahoma"/>
            <family val="2"/>
          </rPr>
          <t xml:space="preserve">
   Link to cell I9 for select voltage</t>
        </r>
      </text>
    </comment>
    <comment ref="I68" authorId="5" shapeId="0" xr:uid="{00000000-0006-0000-0100-000023000000}">
      <text>
        <r>
          <rPr>
            <sz val="8"/>
            <color indexed="81"/>
            <rFont val="Tahoma"/>
            <family val="2"/>
          </rPr>
          <t>To select a neutral conductor constant select the size conductor from the drop-down box to the right.</t>
        </r>
      </text>
    </comment>
    <comment ref="P72" authorId="4" shapeId="0" xr:uid="{00000000-0006-0000-0100-000024000000}">
      <text>
        <r>
          <rPr>
            <b/>
            <sz val="8"/>
            <color indexed="81"/>
            <rFont val="Tahoma"/>
            <family val="2"/>
          </rPr>
          <t>Link cell to conductor size</t>
        </r>
        <r>
          <rPr>
            <sz val="8"/>
            <color indexed="81"/>
            <rFont val="Tahoma"/>
            <family val="2"/>
          </rPr>
          <t xml:space="preserve">
</t>
        </r>
      </text>
    </comment>
    <comment ref="V72" authorId="4" shapeId="0" xr:uid="{00000000-0006-0000-0100-000025000000}">
      <text>
        <r>
          <rPr>
            <b/>
            <sz val="8"/>
            <color indexed="81"/>
            <rFont val="Tahoma"/>
            <family val="2"/>
          </rPr>
          <t>Link cell to conductor size</t>
        </r>
        <r>
          <rPr>
            <sz val="8"/>
            <color indexed="81"/>
            <rFont val="Tahoma"/>
            <family val="2"/>
          </rPr>
          <t xml:space="preserve">
</t>
        </r>
      </text>
    </comment>
    <comment ref="W79" authorId="6" shapeId="0" xr:uid="{00000000-0006-0000-0100-000026000000}">
      <text>
        <r>
          <rPr>
            <b/>
            <sz val="8"/>
            <color indexed="81"/>
            <rFont val="Tahoma"/>
            <family val="2"/>
          </rPr>
          <t>when cell = -1 then feeder is 3ph</t>
        </r>
        <r>
          <rPr>
            <sz val="8"/>
            <color indexed="81"/>
            <rFont val="Tahoma"/>
            <family val="2"/>
          </rPr>
          <t xml:space="preserve">
</t>
        </r>
      </text>
    </comment>
    <comment ref="X79" authorId="6" shapeId="0" xr:uid="{00000000-0006-0000-0100-000027000000}">
      <text>
        <r>
          <rPr>
            <b/>
            <sz val="8"/>
            <color indexed="81"/>
            <rFont val="Tahoma"/>
            <family val="2"/>
          </rPr>
          <t>if cell = 1 then branch is 1ph</t>
        </r>
        <r>
          <rPr>
            <sz val="8"/>
            <color indexed="81"/>
            <rFont val="Tahoma"/>
            <family val="2"/>
          </rPr>
          <t xml:space="preserve">
</t>
        </r>
      </text>
    </comment>
    <comment ref="W80" authorId="6" shapeId="0" xr:uid="{00000000-0006-0000-0100-000028000000}">
      <text>
        <r>
          <rPr>
            <b/>
            <sz val="8"/>
            <color indexed="81"/>
            <rFont val="Tahoma"/>
            <family val="2"/>
          </rPr>
          <t>when cell = -1 then feeder is 3ph</t>
        </r>
        <r>
          <rPr>
            <sz val="8"/>
            <color indexed="81"/>
            <rFont val="Tahoma"/>
            <family val="2"/>
          </rPr>
          <t xml:space="preserve">
</t>
        </r>
      </text>
    </comment>
    <comment ref="X80" authorId="6" shapeId="0" xr:uid="{00000000-0006-0000-0100-000029000000}">
      <text>
        <r>
          <rPr>
            <b/>
            <sz val="8"/>
            <color indexed="81"/>
            <rFont val="Tahoma"/>
            <family val="2"/>
          </rPr>
          <t>if cell = 1 then branch is 1ph</t>
        </r>
        <r>
          <rPr>
            <sz val="8"/>
            <color indexed="81"/>
            <rFont val="Tahoma"/>
            <family val="2"/>
          </rPr>
          <t xml:space="preserve">
</t>
        </r>
      </text>
    </comment>
  </commentList>
</comments>
</file>

<file path=xl/sharedStrings.xml><?xml version="1.0" encoding="utf-8"?>
<sst xmlns="http://schemas.openxmlformats.org/spreadsheetml/2006/main" count="475" uniqueCount="165">
  <si>
    <t>Company Name</t>
  </si>
  <si>
    <t>Available Fault Current Calculation</t>
  </si>
  <si>
    <t xml:space="preserve"> </t>
  </si>
  <si>
    <t>by:John Sokolik</t>
  </si>
  <si>
    <t>Ver. 4.00</t>
  </si>
  <si>
    <t xml:space="preserve">  Three Single conductors </t>
  </si>
  <si>
    <t>Select Conductor &amp; Raceway</t>
  </si>
  <si>
    <t>Utility Fault Current</t>
  </si>
  <si>
    <t>amperes</t>
  </si>
  <si>
    <t xml:space="preserve">    kVA   =</t>
  </si>
  <si>
    <t xml:space="preserve">         in PVC raceway</t>
  </si>
  <si>
    <t xml:space="preserve">         in Metal raceway</t>
  </si>
  <si>
    <t>Copper in Nonmetallic Raceway</t>
  </si>
  <si>
    <t xml:space="preserve">      E     =</t>
  </si>
  <si>
    <t>AWG</t>
  </si>
  <si>
    <t>Copper</t>
  </si>
  <si>
    <t>Alum.</t>
  </si>
  <si>
    <t>Aluminum in Nonmetallic Raceway</t>
  </si>
  <si>
    <r>
      <t xml:space="preserve">I = </t>
    </r>
    <r>
      <rPr>
        <b/>
        <u/>
        <sz val="11"/>
        <rFont val="Arial"/>
        <family val="2"/>
      </rPr>
      <t>kVA x 1000</t>
    </r>
    <r>
      <rPr>
        <b/>
        <sz val="11"/>
        <rFont val="Arial"/>
        <family val="2"/>
      </rPr>
      <t xml:space="preserve"> = trans. FLA</t>
    </r>
  </si>
  <si>
    <t xml:space="preserve">         trans. FLA     =</t>
  </si>
  <si>
    <t>Copper in Metal Raceway</t>
  </si>
  <si>
    <t>Aluminum in Metal Raceway</t>
  </si>
  <si>
    <t xml:space="preserve">  =</t>
  </si>
  <si>
    <t xml:space="preserve">             transformer  Z </t>
  </si>
  <si>
    <t xml:space="preserve"> %</t>
  </si>
  <si>
    <t>6</t>
  </si>
  <si>
    <r>
      <t>I</t>
    </r>
    <r>
      <rPr>
        <sz val="8"/>
        <rFont val="Footlight MT Light"/>
        <family val="1"/>
      </rPr>
      <t xml:space="preserve">sca </t>
    </r>
    <r>
      <rPr>
        <sz val="8"/>
        <rFont val="Arial"/>
        <family val="2"/>
      </rPr>
      <t xml:space="preserve">= </t>
    </r>
    <r>
      <rPr>
        <sz val="8"/>
        <rFont val="Arial"/>
        <family val="2"/>
      </rPr>
      <t>ampere short-circuit current RMS symmetrical.</t>
    </r>
  </si>
  <si>
    <t xml:space="preserve"> amperes</t>
  </si>
  <si>
    <t>Point to Point Method</t>
  </si>
  <si>
    <t>Length (distance)</t>
  </si>
  <si>
    <t xml:space="preserve">     L      =</t>
  </si>
  <si>
    <t xml:space="preserve"> 'f ' factor =</t>
  </si>
  <si>
    <t xml:space="preserve">      (ASC)</t>
  </si>
  <si>
    <r>
      <t xml:space="preserve">    I</t>
    </r>
    <r>
      <rPr>
        <sz val="8"/>
        <rFont val="Footlight MT Light"/>
        <family val="1"/>
      </rPr>
      <t xml:space="preserve">sca   </t>
    </r>
    <r>
      <rPr>
        <sz val="10"/>
        <rFont val="Arial"/>
        <family val="2"/>
      </rPr>
      <t xml:space="preserve">   =</t>
    </r>
  </si>
  <si>
    <t>1/0</t>
  </si>
  <si>
    <r>
      <t xml:space="preserve">     </t>
    </r>
    <r>
      <rPr>
        <b/>
        <sz val="11"/>
        <rFont val="Arial"/>
        <family val="2"/>
      </rPr>
      <t>N x C x E</t>
    </r>
    <r>
      <rPr>
        <b/>
        <sz val="10"/>
        <rFont val="Arial"/>
        <family val="2"/>
      </rPr>
      <t xml:space="preserve"> </t>
    </r>
    <r>
      <rPr>
        <b/>
        <sz val="8"/>
        <rFont val="Arial"/>
        <family val="2"/>
      </rPr>
      <t>L-N</t>
    </r>
  </si>
  <si>
    <t># conductors per phase</t>
  </si>
  <si>
    <t xml:space="preserve">     N      =</t>
  </si>
  <si>
    <t>2/0</t>
  </si>
  <si>
    <t xml:space="preserve">    Phase conductor constant</t>
  </si>
  <si>
    <t xml:space="preserve">     C     =</t>
  </si>
  <si>
    <t>Phase Conductor</t>
  </si>
  <si>
    <t>3/0</t>
  </si>
  <si>
    <r>
      <t xml:space="preserve">Volt </t>
    </r>
    <r>
      <rPr>
        <sz val="8"/>
        <rFont val="Arial"/>
        <family val="2"/>
      </rPr>
      <t>Line to Line</t>
    </r>
  </si>
  <si>
    <r>
      <t xml:space="preserve"> E </t>
    </r>
    <r>
      <rPr>
        <sz val="8"/>
        <rFont val="Arial"/>
        <family val="2"/>
      </rPr>
      <t xml:space="preserve">L - L    </t>
    </r>
    <r>
      <rPr>
        <sz val="10"/>
        <rFont val="Arial"/>
        <family val="2"/>
      </rPr>
      <t>=</t>
    </r>
  </si>
  <si>
    <t>Volt</t>
  </si>
  <si>
    <t>4/0</t>
  </si>
  <si>
    <t xml:space="preserve">       f     =</t>
  </si>
  <si>
    <t>250 kcmil</t>
  </si>
  <si>
    <t xml:space="preserve">   Neutral conductor constant</t>
  </si>
  <si>
    <t>Neutral Conductor</t>
  </si>
  <si>
    <t>300 kcmil</t>
  </si>
  <si>
    <t>Multiplier</t>
  </si>
  <si>
    <r>
      <t xml:space="preserve">Volt </t>
    </r>
    <r>
      <rPr>
        <sz val="8"/>
        <rFont val="Arial"/>
        <family val="2"/>
      </rPr>
      <t>Line to Neutral</t>
    </r>
  </si>
  <si>
    <r>
      <t xml:space="preserve">  E</t>
    </r>
    <r>
      <rPr>
        <sz val="8"/>
        <rFont val="Arial"/>
        <family val="2"/>
      </rPr>
      <t xml:space="preserve"> L - N   </t>
    </r>
    <r>
      <rPr>
        <sz val="10"/>
        <rFont val="Arial"/>
        <family val="2"/>
      </rPr>
      <t>=</t>
    </r>
  </si>
  <si>
    <t>350 kcmil</t>
  </si>
  <si>
    <t>400 kcmil</t>
  </si>
  <si>
    <r>
      <t xml:space="preserve">    M =  </t>
    </r>
    <r>
      <rPr>
        <b/>
        <u/>
        <sz val="10"/>
        <rFont val="Arial"/>
        <family val="2"/>
      </rPr>
      <t xml:space="preserve">    1    </t>
    </r>
  </si>
  <si>
    <t>500 kcmil</t>
  </si>
  <si>
    <t xml:space="preserve">             1 + f</t>
  </si>
  <si>
    <t>Line to Line</t>
  </si>
  <si>
    <t xml:space="preserve">     M     =</t>
  </si>
  <si>
    <t>600 kcmil</t>
  </si>
  <si>
    <t>Line to Neutral</t>
  </si>
  <si>
    <t>750 kcmil</t>
  </si>
  <si>
    <t>Fault Current at Service Equipment</t>
  </si>
  <si>
    <t>1000 kcmil</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</si>
  <si>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</si>
  <si>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N  =</t>
    </r>
  </si>
  <si>
    <t>Neutral</t>
  </si>
  <si>
    <t>CU/PVC</t>
  </si>
  <si>
    <t>Select Voltage &amp; Phase</t>
  </si>
  <si>
    <t>AL/PVC</t>
  </si>
  <si>
    <t xml:space="preserve">Single Phase 240/120 </t>
  </si>
  <si>
    <t>CU/MET</t>
  </si>
  <si>
    <t>Single Phase 208/120</t>
  </si>
  <si>
    <t>Fault Current from</t>
  </si>
  <si>
    <t>Service disc. to panel "_____"</t>
  </si>
  <si>
    <t>AL/MET</t>
  </si>
  <si>
    <t xml:space="preserve">   Three Phase 208/120</t>
  </si>
  <si>
    <t xml:space="preserve">Single Phase 480/277 </t>
  </si>
  <si>
    <t xml:space="preserve">   Three Phase 480/277 </t>
  </si>
  <si>
    <t xml:space="preserve"> Phase </t>
  </si>
  <si>
    <t xml:space="preserve"> Neutral</t>
  </si>
  <si>
    <t>neut</t>
  </si>
  <si>
    <t>Phase</t>
  </si>
  <si>
    <t>phase</t>
  </si>
  <si>
    <t xml:space="preserve">Single Phase  </t>
  </si>
  <si>
    <t>Three Phase</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</si>
  <si>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</si>
  <si>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N  =</t>
    </r>
  </si>
  <si>
    <t>Calculation does not include motor contribution</t>
  </si>
  <si>
    <t>Branch Circuit Fault from</t>
  </si>
  <si>
    <t>Point to Point</t>
  </si>
  <si>
    <t>u65</t>
  </si>
  <si>
    <t>u67</t>
  </si>
  <si>
    <r>
      <t xml:space="preserve">I = </t>
    </r>
    <r>
      <rPr>
        <b/>
        <u/>
        <sz val="11"/>
        <color indexed="22"/>
        <rFont val="Arial"/>
        <family val="2"/>
      </rPr>
      <t>kVA x 1000</t>
    </r>
    <r>
      <rPr>
        <b/>
        <sz val="11"/>
        <color indexed="22"/>
        <rFont val="Arial"/>
        <family val="2"/>
      </rPr>
      <t xml:space="preserve"> = trans. FLA</t>
    </r>
  </si>
  <si>
    <r>
      <t>I</t>
    </r>
    <r>
      <rPr>
        <b/>
        <sz val="8"/>
        <color indexed="22"/>
        <rFont val="Footlight MT Light"/>
        <family val="1"/>
      </rPr>
      <t>sca</t>
    </r>
    <r>
      <rPr>
        <b/>
        <sz val="11"/>
        <color indexed="22"/>
        <rFont val="Arial"/>
        <family val="2"/>
      </rPr>
      <t xml:space="preserve"> =   </t>
    </r>
    <r>
      <rPr>
        <b/>
        <u/>
        <sz val="11"/>
        <color indexed="22"/>
        <rFont val="Arial"/>
        <family val="2"/>
      </rPr>
      <t>trans. FLA x 100</t>
    </r>
    <r>
      <rPr>
        <b/>
        <sz val="11"/>
        <color indexed="22"/>
        <rFont val="Arial"/>
        <family val="2"/>
      </rPr>
      <t xml:space="preserve">    </t>
    </r>
  </si>
  <si>
    <r>
      <t>I</t>
    </r>
    <r>
      <rPr>
        <sz val="8"/>
        <color indexed="22"/>
        <rFont val="Footlight MT Light"/>
        <family val="1"/>
      </rPr>
      <t xml:space="preserve">sca </t>
    </r>
    <r>
      <rPr>
        <sz val="8"/>
        <color indexed="22"/>
        <rFont val="Arial"/>
        <family val="2"/>
      </rPr>
      <t xml:space="preserve">= </t>
    </r>
    <r>
      <rPr>
        <sz val="8"/>
        <color indexed="22"/>
        <rFont val="Arial"/>
        <family val="2"/>
      </rPr>
      <t>ampere short-circuit current RMS symmetrical.</t>
    </r>
  </si>
  <si>
    <r>
      <t xml:space="preserve">               I</t>
    </r>
    <r>
      <rPr>
        <sz val="8"/>
        <color indexed="22"/>
        <rFont val="Footlight MT Light"/>
        <family val="1"/>
      </rPr>
      <t>sca</t>
    </r>
    <r>
      <rPr>
        <sz val="10"/>
        <color indexed="22"/>
        <rFont val="Arial"/>
        <family val="2"/>
      </rPr>
      <t xml:space="preserve">       =</t>
    </r>
  </si>
  <si>
    <r>
      <t xml:space="preserve">    I</t>
    </r>
    <r>
      <rPr>
        <sz val="8"/>
        <color indexed="22"/>
        <rFont val="Footlight MT Light"/>
        <family val="1"/>
      </rPr>
      <t xml:space="preserve">sca   </t>
    </r>
    <r>
      <rPr>
        <sz val="10"/>
        <color indexed="22"/>
        <rFont val="Arial"/>
        <family val="2"/>
      </rPr>
      <t xml:space="preserve">   =</t>
    </r>
  </si>
  <si>
    <r>
      <t xml:space="preserve">     </t>
    </r>
    <r>
      <rPr>
        <b/>
        <sz val="11"/>
        <color indexed="22"/>
        <rFont val="Arial"/>
        <family val="2"/>
      </rPr>
      <t>N x C x E</t>
    </r>
    <r>
      <rPr>
        <b/>
        <sz val="10"/>
        <color indexed="22"/>
        <rFont val="Arial"/>
        <family val="2"/>
      </rPr>
      <t xml:space="preserve"> </t>
    </r>
    <r>
      <rPr>
        <b/>
        <sz val="8"/>
        <color indexed="22"/>
        <rFont val="Arial"/>
        <family val="2"/>
      </rPr>
      <t>L-N</t>
    </r>
  </si>
  <si>
    <r>
      <t xml:space="preserve">Volt </t>
    </r>
    <r>
      <rPr>
        <sz val="8"/>
        <color indexed="22"/>
        <rFont val="Arial"/>
        <family val="2"/>
      </rPr>
      <t>Line to Line</t>
    </r>
  </si>
  <si>
    <r>
      <t xml:space="preserve"> E </t>
    </r>
    <r>
      <rPr>
        <sz val="8"/>
        <color indexed="22"/>
        <rFont val="Arial"/>
        <family val="2"/>
      </rPr>
      <t xml:space="preserve">L - L    </t>
    </r>
    <r>
      <rPr>
        <sz val="10"/>
        <color indexed="22"/>
        <rFont val="Arial"/>
        <family val="2"/>
      </rPr>
      <t>=</t>
    </r>
  </si>
  <si>
    <r>
      <t xml:space="preserve">Volt </t>
    </r>
    <r>
      <rPr>
        <sz val="8"/>
        <color indexed="22"/>
        <rFont val="Arial"/>
        <family val="2"/>
      </rPr>
      <t>Line to Neutral</t>
    </r>
  </si>
  <si>
    <r>
      <t xml:space="preserve">  E</t>
    </r>
    <r>
      <rPr>
        <sz val="8"/>
        <color indexed="22"/>
        <rFont val="Arial"/>
        <family val="2"/>
      </rPr>
      <t xml:space="preserve"> L - N   </t>
    </r>
    <r>
      <rPr>
        <sz val="10"/>
        <color indexed="22"/>
        <rFont val="Arial"/>
        <family val="2"/>
      </rPr>
      <t>=</t>
    </r>
  </si>
  <si>
    <r>
      <t xml:space="preserve">    M =  </t>
    </r>
    <r>
      <rPr>
        <b/>
        <u/>
        <sz val="10"/>
        <color indexed="22"/>
        <rFont val="Arial"/>
        <family val="2"/>
      </rPr>
      <t xml:space="preserve">    1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</si>
  <si>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L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</si>
  <si>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N  =</t>
    </r>
  </si>
  <si>
    <t xml:space="preserve">   Z     =</t>
  </si>
  <si>
    <t>Job Name</t>
  </si>
  <si>
    <t xml:space="preserve">   Three Phase 380/220</t>
  </si>
  <si>
    <t>FEET</t>
  </si>
  <si>
    <t>METERS</t>
  </si>
  <si>
    <t xml:space="preserve">   Three Phase 600/347</t>
  </si>
  <si>
    <t xml:space="preserve">   Three Phase 416/240</t>
  </si>
  <si>
    <r>
      <t xml:space="preserve">Yellow cells are fields for data input, Use the TAB button to move from field to field.                 </t>
    </r>
    <r>
      <rPr>
        <sz val="10"/>
        <rFont val="Arial"/>
        <family val="2"/>
      </rPr>
      <t xml:space="preserve"> See example sheet tab at the lower left corner of this sheet.      Place cursor over this message for further information.</t>
    </r>
  </si>
  <si>
    <t>Single Phase 220/127 (Mexico)</t>
  </si>
  <si>
    <t xml:space="preserve">   Three Phase 220/127</t>
  </si>
  <si>
    <t>S.E.</t>
  </si>
  <si>
    <t>BR</t>
  </si>
  <si>
    <t>NEG = BAD</t>
  </si>
  <si>
    <t>DROP DOWN 1 OR 3</t>
  </si>
  <si>
    <t xml:space="preserve">               transformer  Z </t>
  </si>
  <si>
    <r>
      <t>I</t>
    </r>
    <r>
      <rPr>
        <b/>
        <sz val="8"/>
        <rFont val="Footlight MT Light"/>
        <family val="1"/>
      </rPr>
      <t>sca</t>
    </r>
    <r>
      <rPr>
        <b/>
        <sz val="11"/>
        <rFont val="Arial"/>
        <family val="2"/>
      </rPr>
      <t xml:space="preserve"> =    </t>
    </r>
    <r>
      <rPr>
        <b/>
        <u/>
        <sz val="11"/>
        <rFont val="Arial"/>
        <family val="2"/>
      </rPr>
      <t>trans. FLA x 100 x PF</t>
    </r>
  </si>
  <si>
    <t xml:space="preserve">      Z     =</t>
  </si>
  <si>
    <r>
      <t xml:space="preserve">               I</t>
    </r>
    <r>
      <rPr>
        <sz val="8"/>
        <rFont val="Footlight MT Light"/>
        <family val="1"/>
      </rPr>
      <t>sca</t>
    </r>
    <r>
      <rPr>
        <sz val="10"/>
        <rFont val="Arial"/>
        <family val="2"/>
      </rPr>
      <t xml:space="preserve">            =</t>
    </r>
  </si>
  <si>
    <t xml:space="preserve">         trans. FLA      =</t>
  </si>
  <si>
    <t xml:space="preserve">     PF   =</t>
  </si>
  <si>
    <t xml:space="preserve">  PF   =</t>
  </si>
  <si>
    <t>jmp1jds@comcast.net</t>
  </si>
  <si>
    <t>220/127V</t>
  </si>
  <si>
    <t>380/220V</t>
  </si>
  <si>
    <t>Project Name</t>
  </si>
  <si>
    <t>Your Company Name</t>
  </si>
  <si>
    <t>Service Equipment to Panel B</t>
  </si>
  <si>
    <t>Service Equipment to Panel A</t>
  </si>
  <si>
    <t>Compatibility Report for Fault_Ver_2014 Tables Exposed.xls</t>
  </si>
  <si>
    <t>Run on 2/15/2016 15:54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</si>
  <si>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</si>
  <si>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</si>
  <si>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</si>
  <si>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</si>
  <si>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</si>
  <si>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Example Sheet'!W54</t>
  </si>
  <si>
    <t>Example Sheet'!W77</t>
  </si>
  <si>
    <t>Excel 97-2003</t>
  </si>
  <si>
    <t>Minor loss of fidelity</t>
  </si>
  <si>
    <t>Some cells or styles in this workbook contain formatting that is not supported by the selected file format. These formats will be converted to the closest format available.</t>
  </si>
  <si>
    <r>
      <t xml:space="preserve">  </t>
    </r>
    <r>
      <rPr>
        <b/>
        <sz val="11"/>
        <rFont val="Arial"/>
        <family val="2"/>
      </rPr>
      <t>N x C x E</t>
    </r>
    <r>
      <rPr>
        <b/>
        <sz val="10"/>
        <rFont val="Arial"/>
        <family val="2"/>
      </rPr>
      <t xml:space="preserve"> </t>
    </r>
    <r>
      <rPr>
        <b/>
        <sz val="8"/>
        <rFont val="Arial"/>
        <family val="2"/>
      </rPr>
      <t>L-N</t>
    </r>
  </si>
  <si>
    <t>Ver. 2017</t>
  </si>
  <si>
    <t>14 AWG</t>
  </si>
  <si>
    <t>12 AWG</t>
  </si>
  <si>
    <t>10 AWG</t>
  </si>
  <si>
    <t>8 AWG</t>
  </si>
  <si>
    <t>6 AWG</t>
  </si>
  <si>
    <t>4 AWG</t>
  </si>
  <si>
    <t>3 AWG</t>
  </si>
  <si>
    <t>2 AWG</t>
  </si>
  <si>
    <t>1 AWG</t>
  </si>
  <si>
    <t>1/0 AWG</t>
  </si>
  <si>
    <t>2/0 AWG</t>
  </si>
  <si>
    <t>3/0 AWG</t>
  </si>
  <si>
    <t>4/0 AWG</t>
  </si>
  <si>
    <t>AWG/kCMIL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</si>
</sst>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00"/>
    <numFmt numFmtId="166" formatCode="0.0000"/>
  </numFmts>
  <fonts count="54">
    <font>
      <sz val="10"/>
      <name val="Arial"/>
    </font>
    <font>
      <b/>
      <sz val="12"/>
      <name val="Arial"/>
      <family val="2"/>
    </font>
    <font>
      <b/>
      <sz val="18"/>
      <color indexed="18"/>
      <name val="CG Omega"/>
      <family val="2"/>
    </font>
    <font>
      <sz val="10"/>
      <color indexed="9"/>
      <name val="Arial"/>
      <family val="2"/>
    </font>
    <font>
      <sz val="5"/>
      <name val="Arial"/>
      <family val="2"/>
    </font>
    <font>
      <sz val="8"/>
      <name val="Arial"/>
      <family val="2"/>
    </font>
    <font>
      <sz val="10"/>
      <color indexed="34"/>
      <name val="Arial"/>
      <family val="2"/>
    </font>
    <font>
      <b/>
      <sz val="10"/>
      <color indexed="9"/>
      <name val="Arial"/>
      <family val="2"/>
    </font>
    <font>
      <b/>
      <sz val="10"/>
      <color indexed="34"/>
      <name val="Arial"/>
      <family val="2"/>
    </font>
    <font>
      <b/>
      <sz val="10"/>
      <name val="Arial"/>
      <family val="2"/>
    </font>
    <font>
      <sz val="10"/>
      <color indexed="17"/>
      <name val="Arial"/>
      <family val="2"/>
    </font>
    <font>
      <b/>
      <sz val="11"/>
      <name val="Arial"/>
      <family val="2"/>
    </font>
    <font>
      <b/>
      <u/>
      <sz val="11"/>
      <name val="Arial"/>
      <family val="2"/>
    </font>
    <font>
      <b/>
      <sz val="10"/>
      <color indexed="43"/>
      <name val="Arial"/>
      <family val="2"/>
    </font>
    <font>
      <b/>
      <sz val="11"/>
      <name val="Arial"/>
      <family val="2"/>
    </font>
    <font>
      <b/>
      <sz val="8"/>
      <name val="Footlight MT Light"/>
      <family val="1"/>
    </font>
    <font>
      <b/>
      <sz val="12"/>
      <name val="Arial"/>
      <family val="2"/>
    </font>
    <font>
      <sz val="8"/>
      <name val="Arial"/>
      <family val="2"/>
    </font>
    <font>
      <sz val="8"/>
      <name val="Footlight MT Light"/>
      <family val="1"/>
    </font>
    <font>
      <b/>
      <sz val="10"/>
      <name val="CG Omega"/>
      <family val="2"/>
    </font>
    <font>
      <b/>
      <sz val="10"/>
      <name val="Arial"/>
      <family val="2"/>
    </font>
    <font>
      <sz val="10"/>
      <name val="Arial"/>
      <family val="2"/>
    </font>
    <font>
      <b/>
      <sz val="8"/>
      <name val="Arial"/>
      <family val="2"/>
    </font>
    <font>
      <b/>
      <sz val="10"/>
      <color indexed="25"/>
      <name val="Arial"/>
      <family val="2"/>
    </font>
    <font>
      <b/>
      <u/>
      <sz val="10"/>
      <name val="Arial"/>
      <family val="2"/>
    </font>
    <font>
      <b/>
      <sz val="11"/>
      <color indexed="9"/>
      <name val="Arial"/>
      <family val="2"/>
    </font>
    <font>
      <b/>
      <sz val="10"/>
      <color indexed="10"/>
      <name val="Arial"/>
      <family val="2"/>
    </font>
    <font>
      <b/>
      <sz val="10"/>
      <color indexed="61"/>
      <name val="Arial"/>
      <family val="2"/>
    </font>
    <font>
      <sz val="10"/>
      <color indexed="61"/>
      <name val="Arial"/>
      <family val="2"/>
    </font>
    <font>
      <b/>
      <sz val="10"/>
      <color indexed="16"/>
      <name val="Arial"/>
      <family val="2"/>
    </font>
    <font>
      <sz val="9"/>
      <name val="Arial"/>
      <family val="2"/>
    </font>
    <font>
      <sz val="10"/>
      <color indexed="10"/>
      <name val="Arial"/>
      <family val="2"/>
    </font>
    <font>
      <sz val="8"/>
      <color indexed="81"/>
      <name val="Tahoma"/>
      <family val="2"/>
    </font>
    <font>
      <b/>
      <sz val="8"/>
      <color indexed="81"/>
      <name val="Tahoma"/>
      <family val="2"/>
    </font>
    <font>
      <b/>
      <sz val="10"/>
      <color indexed="22"/>
      <name val="Arial"/>
      <family val="2"/>
    </font>
    <font>
      <sz val="10"/>
      <color indexed="22"/>
      <name val="Arial"/>
      <family val="2"/>
    </font>
    <font>
      <b/>
      <sz val="11"/>
      <color indexed="22"/>
      <name val="Arial"/>
      <family val="2"/>
    </font>
    <font>
      <b/>
      <u/>
      <sz val="11"/>
      <color indexed="22"/>
      <name val="Arial"/>
      <family val="2"/>
    </font>
    <font>
      <sz val="10"/>
      <color indexed="22"/>
      <name val="Arial"/>
      <family val="2"/>
    </font>
    <font>
      <b/>
      <sz val="10"/>
      <color indexed="22"/>
      <name val="Arial"/>
      <family val="2"/>
    </font>
    <font>
      <b/>
      <sz val="11"/>
      <color indexed="22"/>
      <name val="Arial"/>
      <family val="2"/>
    </font>
    <font>
      <b/>
      <sz val="8"/>
      <color indexed="22"/>
      <name val="Footlight MT Light"/>
      <family val="1"/>
    </font>
    <font>
      <b/>
      <sz val="12"/>
      <color indexed="22"/>
      <name val="Arial"/>
      <family val="2"/>
    </font>
    <font>
      <sz val="8"/>
      <color indexed="22"/>
      <name val="Arial"/>
      <family val="2"/>
    </font>
    <font>
      <sz val="8"/>
      <color indexed="22"/>
      <name val="Footlight MT Light"/>
      <family val="1"/>
    </font>
    <font>
      <sz val="8"/>
      <color indexed="22"/>
      <name val="Arial"/>
      <family val="2"/>
    </font>
    <font>
      <b/>
      <sz val="10"/>
      <color indexed="22"/>
      <name val="CG Omega"/>
      <family val="2"/>
    </font>
    <font>
      <b/>
      <sz val="8"/>
      <color indexed="22"/>
      <name val="Arial"/>
      <family val="2"/>
    </font>
    <font>
      <b/>
      <u/>
      <sz val="10"/>
      <color indexed="22"/>
      <name val="Arial"/>
      <family val="2"/>
    </font>
    <font>
      <sz val="10"/>
      <color indexed="53"/>
      <name val="Arial"/>
      <family val="2"/>
    </font>
    <font>
      <b/>
      <sz val="10"/>
      <color indexed="9"/>
      <name val="CG Omega"/>
      <family val="2"/>
    </font>
    <font>
      <u/>
      <sz val="10"/>
      <color indexed="12"/>
      <name val="Arial"/>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8"/>
        <bgColor indexed="64"/>
      </patternFill>
    </fill>
    <fill>
      <patternFill patternType="solid">
        <fgColor theme="0" tint="-0.249977111117893"/>
        <bgColor indexed="64"/>
      </patternFill>
    </fill>
    <fill>
      <patternFill patternType="solid">
        <fgColor rgb="FFFFFF9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51" fillId="0" borderId="0" applyNumberFormat="0" applyFill="0" applyBorder="0" applyAlignment="0" applyProtection="0">
      <alignment vertical="top"/>
      <protection locked="0"/>
    </xf>
  </cellStyleXfs>
  <cellXfs count="197">
    <xf numFmtId="0" fontId="0" fillId="0" borderId="0" xfId="0"/>
    <xf numFmtId="0" fontId="0" fillId="2" borderId="0" xfId="0" applyFill="1"/>
    <xf numFmtId="0" fontId="0" fillId="3" borderId="0" xfId="0" applyFill="1"/>
    <xf numFmtId="0" fontId="0" fillId="3" borderId="0" xfId="0" applyFill="1" applyBorder="1"/>
    <xf numFmtId="0" fontId="1" fillId="2" borderId="0" xfId="0" applyFont="1" applyFill="1" applyProtection="1"/>
    <xf numFmtId="0" fontId="0" fillId="2" borderId="0" xfId="0" applyFill="1" applyBorder="1"/>
    <xf numFmtId="0" fontId="0" fillId="4" borderId="1" xfId="0" applyFill="1" applyBorder="1"/>
    <xf numFmtId="0" fontId="0" fillId="4" borderId="2" xfId="0" applyFill="1" applyBorder="1"/>
    <xf numFmtId="0" fontId="3" fillId="4" borderId="2" xfId="0" applyFont="1" applyFill="1" applyBorder="1"/>
    <xf numFmtId="0" fontId="4" fillId="4" borderId="2" xfId="0" applyFont="1" applyFill="1" applyBorder="1" applyAlignment="1">
      <alignment horizontal="center"/>
    </xf>
    <xf numFmtId="0" fontId="5" fillId="4" borderId="3" xfId="0"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0" fontId="0" fillId="0" borderId="1" xfId="0" applyBorder="1"/>
    <xf numFmtId="0" fontId="0" fillId="0" borderId="2" xfId="0" applyBorder="1"/>
    <xf numFmtId="0" fontId="0" fillId="0" borderId="3" xfId="0" applyBorder="1"/>
    <xf numFmtId="0" fontId="9" fillId="4" borderId="4" xfId="0" applyFont="1" applyFill="1" applyBorder="1"/>
    <xf numFmtId="0" fontId="0" fillId="4" borderId="0" xfId="0" applyFill="1" applyBorder="1"/>
    <xf numFmtId="0" fontId="0" fillId="0" borderId="0" xfId="0" applyBorder="1"/>
    <xf numFmtId="3" fontId="0" fillId="5" borderId="5" xfId="0" applyNumberFormat="1" applyFill="1" applyBorder="1" applyProtection="1">
      <protection locked="0"/>
    </xf>
    <xf numFmtId="0" fontId="0" fillId="6" borderId="5" xfId="0" applyFill="1" applyBorder="1" applyProtection="1">
      <protection locked="0"/>
    </xf>
    <xf numFmtId="0" fontId="0" fillId="4" borderId="6" xfId="0" applyFill="1" applyBorder="1"/>
    <xf numFmtId="0" fontId="3" fillId="2" borderId="0" xfId="0" applyFont="1" applyFill="1"/>
    <xf numFmtId="0" fontId="0" fillId="0" borderId="4" xfId="0" applyBorder="1"/>
    <xf numFmtId="0" fontId="0" fillId="0" borderId="6" xfId="0" applyBorder="1"/>
    <xf numFmtId="0" fontId="0" fillId="4" borderId="4" xfId="0" applyFill="1" applyBorder="1"/>
    <xf numFmtId="0" fontId="0" fillId="7" borderId="5" xfId="0" applyFill="1" applyBorder="1"/>
    <xf numFmtId="0" fontId="10" fillId="2" borderId="0" xfId="0" applyFont="1" applyFill="1" applyProtection="1">
      <protection locked="0"/>
    </xf>
    <xf numFmtId="0" fontId="8" fillId="2" borderId="7" xfId="0" applyFont="1" applyFill="1" applyBorder="1" applyAlignment="1">
      <alignment horizontal="center"/>
    </xf>
    <xf numFmtId="0" fontId="8" fillId="2" borderId="7" xfId="0" applyFont="1" applyFill="1" applyBorder="1"/>
    <xf numFmtId="0" fontId="11" fillId="4" borderId="4" xfId="0" applyFont="1" applyFill="1" applyBorder="1"/>
    <xf numFmtId="0" fontId="9" fillId="4" borderId="0" xfId="0" applyFont="1" applyFill="1" applyBorder="1"/>
    <xf numFmtId="1" fontId="0" fillId="3" borderId="0" xfId="0" applyNumberFormat="1" applyFill="1" applyBorder="1" applyAlignment="1"/>
    <xf numFmtId="0" fontId="8" fillId="2" borderId="8" xfId="0" applyFont="1" applyFill="1" applyBorder="1" applyAlignment="1">
      <alignment horizontal="center"/>
    </xf>
    <xf numFmtId="1" fontId="13" fillId="2" borderId="9" xfId="0" applyNumberFormat="1" applyFont="1" applyFill="1" applyBorder="1" applyAlignment="1" applyProtection="1">
      <alignment horizontal="center"/>
    </xf>
    <xf numFmtId="1" fontId="13" fillId="2" borderId="5" xfId="0" applyNumberFormat="1" applyFont="1" applyFill="1" applyBorder="1" applyAlignment="1" applyProtection="1">
      <alignment horizontal="center"/>
    </xf>
    <xf numFmtId="0" fontId="3" fillId="0" borderId="0" xfId="0" applyFont="1" applyProtection="1">
      <protection locked="0"/>
    </xf>
    <xf numFmtId="0" fontId="10" fillId="2" borderId="0" xfId="0" applyFont="1" applyFill="1"/>
    <xf numFmtId="0" fontId="0" fillId="0" borderId="10" xfId="0" applyBorder="1"/>
    <xf numFmtId="0" fontId="0" fillId="0" borderId="7" xfId="0" applyBorder="1"/>
    <xf numFmtId="0" fontId="0" fillId="0" borderId="11" xfId="0" applyBorder="1"/>
    <xf numFmtId="0" fontId="14" fillId="4" borderId="4" xfId="0" applyFont="1" applyFill="1" applyBorder="1"/>
    <xf numFmtId="49" fontId="8" fillId="2" borderId="8" xfId="0" applyNumberFormat="1" applyFont="1" applyFill="1" applyBorder="1" applyAlignment="1">
      <alignment horizontal="center"/>
    </xf>
    <xf numFmtId="0" fontId="17" fillId="4" borderId="4" xfId="0" applyFont="1" applyFill="1" applyBorder="1"/>
    <xf numFmtId="164" fontId="0" fillId="3" borderId="0" xfId="0" applyNumberFormat="1" applyFill="1" applyBorder="1"/>
    <xf numFmtId="0" fontId="19" fillId="4" borderId="4" xfId="0" applyFont="1" applyFill="1" applyBorder="1"/>
    <xf numFmtId="3" fontId="0" fillId="3" borderId="0" xfId="0" applyNumberFormat="1" applyFill="1" applyBorder="1"/>
    <xf numFmtId="0" fontId="5" fillId="4" borderId="0" xfId="0" applyFont="1" applyFill="1" applyBorder="1"/>
    <xf numFmtId="0" fontId="0" fillId="4" borderId="0" xfId="0" applyFill="1" applyBorder="1" applyProtection="1"/>
    <xf numFmtId="3" fontId="21" fillId="3" borderId="5" xfId="0" applyNumberFormat="1" applyFont="1" applyFill="1" applyBorder="1"/>
    <xf numFmtId="0" fontId="14" fillId="7" borderId="0" xfId="0" applyFont="1" applyFill="1" applyBorder="1"/>
    <xf numFmtId="165" fontId="0" fillId="3" borderId="0" xfId="0" applyNumberFormat="1" applyFill="1" applyBorder="1"/>
    <xf numFmtId="0" fontId="3" fillId="0" borderId="0" xfId="0" applyFont="1"/>
    <xf numFmtId="0" fontId="0" fillId="4" borderId="0" xfId="0" applyFill="1"/>
    <xf numFmtId="3" fontId="25" fillId="8" borderId="0" xfId="0" applyNumberFormat="1" applyFont="1" applyFill="1" applyBorder="1"/>
    <xf numFmtId="0" fontId="0" fillId="0" borderId="0" xfId="0" applyFill="1"/>
    <xf numFmtId="0" fontId="0" fillId="0" borderId="0" xfId="0" applyFill="1" applyProtection="1">
      <protection locked="0"/>
    </xf>
    <xf numFmtId="0" fontId="0" fillId="0" borderId="0" xfId="0" applyProtection="1">
      <protection locked="0"/>
    </xf>
    <xf numFmtId="0" fontId="0" fillId="6" borderId="0" xfId="0" applyFill="1" applyProtection="1">
      <protection locked="0"/>
    </xf>
    <xf numFmtId="0" fontId="0" fillId="4" borderId="10" xfId="0" applyFill="1" applyBorder="1"/>
    <xf numFmtId="0" fontId="0" fillId="4" borderId="7" xfId="0" applyFill="1" applyBorder="1"/>
    <xf numFmtId="0" fontId="0" fillId="4" borderId="11" xfId="0" applyFill="1" applyBorder="1"/>
    <xf numFmtId="1" fontId="0" fillId="0" borderId="0" xfId="0" applyNumberFormat="1" applyFill="1" applyProtection="1">
      <protection locked="0"/>
    </xf>
    <xf numFmtId="0" fontId="0" fillId="4" borderId="3" xfId="0" applyFill="1" applyBorder="1"/>
    <xf numFmtId="0" fontId="27" fillId="0" borderId="0" xfId="0" applyFont="1" applyFill="1" applyProtection="1">
      <protection locked="0"/>
    </xf>
    <xf numFmtId="0" fontId="28" fillId="0" borderId="0" xfId="0" applyFont="1" applyProtection="1">
      <protection locked="0"/>
    </xf>
    <xf numFmtId="1" fontId="0" fillId="0" borderId="0" xfId="0" applyNumberFormat="1" applyProtection="1">
      <protection locked="0"/>
    </xf>
    <xf numFmtId="1" fontId="0" fillId="0" borderId="0" xfId="0" applyNumberFormat="1"/>
    <xf numFmtId="0" fontId="0" fillId="9" borderId="0" xfId="0" applyFill="1" applyProtection="1">
      <protection locked="0"/>
    </xf>
    <xf numFmtId="3" fontId="0" fillId="9" borderId="0" xfId="0" applyNumberFormat="1" applyFill="1" applyProtection="1">
      <protection locked="0"/>
    </xf>
    <xf numFmtId="3" fontId="0" fillId="0" borderId="0" xfId="0" applyNumberFormat="1" applyProtection="1">
      <protection locked="0"/>
    </xf>
    <xf numFmtId="0" fontId="7" fillId="0" borderId="0" xfId="0" applyFont="1" applyFill="1" applyProtection="1">
      <protection locked="0"/>
    </xf>
    <xf numFmtId="0" fontId="23" fillId="4" borderId="0" xfId="0" applyFont="1" applyFill="1" applyBorder="1" applyProtection="1"/>
    <xf numFmtId="0" fontId="30" fillId="6" borderId="0" xfId="0" applyFont="1" applyFill="1" applyProtection="1">
      <protection locked="0"/>
    </xf>
    <xf numFmtId="3" fontId="0" fillId="6" borderId="0" xfId="0" applyNumberFormat="1" applyFill="1" applyProtection="1">
      <protection locked="0"/>
    </xf>
    <xf numFmtId="0" fontId="14" fillId="10" borderId="0" xfId="0" applyFont="1" applyFill="1" applyBorder="1"/>
    <xf numFmtId="0" fontId="28" fillId="9" borderId="0" xfId="0" applyFont="1" applyFill="1" applyProtection="1">
      <protection locked="0"/>
    </xf>
    <xf numFmtId="0" fontId="28" fillId="6" borderId="0" xfId="0" applyFont="1" applyFill="1" applyProtection="1">
      <protection locked="0"/>
    </xf>
    <xf numFmtId="0" fontId="26" fillId="4" borderId="0" xfId="0" applyFont="1" applyFill="1" applyBorder="1" applyAlignment="1" applyProtection="1">
      <alignment horizontal="left"/>
    </xf>
    <xf numFmtId="0" fontId="35" fillId="4" borderId="0" xfId="0" applyFont="1" applyFill="1" applyBorder="1"/>
    <xf numFmtId="0" fontId="36" fillId="4" borderId="4" xfId="0" applyFont="1" applyFill="1" applyBorder="1"/>
    <xf numFmtId="0" fontId="38" fillId="4" borderId="0" xfId="0" applyFont="1" applyFill="1" applyBorder="1"/>
    <xf numFmtId="0" fontId="39" fillId="4" borderId="0" xfId="0" applyFont="1" applyFill="1" applyBorder="1"/>
    <xf numFmtId="0" fontId="38" fillId="4" borderId="4" xfId="0" applyFont="1" applyFill="1" applyBorder="1"/>
    <xf numFmtId="0" fontId="40" fillId="4" borderId="4" xfId="0" applyFont="1" applyFill="1" applyBorder="1"/>
    <xf numFmtId="0" fontId="43" fillId="4" borderId="4" xfId="0" applyFont="1" applyFill="1" applyBorder="1"/>
    <xf numFmtId="0" fontId="38" fillId="0" borderId="0" xfId="0" applyFont="1" applyBorder="1"/>
    <xf numFmtId="0" fontId="46" fillId="4" borderId="4" xfId="0" applyFont="1" applyFill="1" applyBorder="1"/>
    <xf numFmtId="0" fontId="45" fillId="4" borderId="0" xfId="0" applyFont="1" applyFill="1" applyBorder="1"/>
    <xf numFmtId="0" fontId="38" fillId="0" borderId="0" xfId="0" applyFont="1"/>
    <xf numFmtId="0" fontId="38" fillId="4" borderId="0" xfId="0" applyFont="1" applyFill="1"/>
    <xf numFmtId="0" fontId="39" fillId="4" borderId="4" xfId="0" applyFont="1" applyFill="1" applyBorder="1"/>
    <xf numFmtId="0" fontId="34" fillId="4" borderId="0" xfId="0" applyFont="1" applyFill="1" applyBorder="1"/>
    <xf numFmtId="0" fontId="20" fillId="4" borderId="4" xfId="0" applyFont="1" applyFill="1" applyBorder="1"/>
    <xf numFmtId="0" fontId="21" fillId="4" borderId="0" xfId="0" applyFont="1" applyFill="1" applyBorder="1"/>
    <xf numFmtId="0" fontId="20" fillId="4" borderId="0" xfId="0" applyFont="1" applyFill="1" applyBorder="1"/>
    <xf numFmtId="0" fontId="49" fillId="4" borderId="2" xfId="0" applyFont="1" applyFill="1" applyBorder="1"/>
    <xf numFmtId="166" fontId="0" fillId="0" borderId="0" xfId="0" applyNumberFormat="1"/>
    <xf numFmtId="166" fontId="0" fillId="0" borderId="0" xfId="0" applyNumberFormat="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11" borderId="14" xfId="0" applyFill="1" applyBorder="1" applyProtection="1">
      <protection locked="0"/>
    </xf>
    <xf numFmtId="0" fontId="0" fillId="4" borderId="0" xfId="0" applyFill="1" applyBorder="1" applyAlignment="1"/>
    <xf numFmtId="0" fontId="16" fillId="4" borderId="0" xfId="0" applyFont="1" applyFill="1" applyBorder="1" applyAlignment="1">
      <alignment vertical="center"/>
    </xf>
    <xf numFmtId="9" fontId="0" fillId="6" borderId="5" xfId="0" applyNumberFormat="1" applyFill="1" applyBorder="1" applyProtection="1">
      <protection locked="0"/>
    </xf>
    <xf numFmtId="10" fontId="0" fillId="6" borderId="5" xfId="0" applyNumberFormat="1" applyFill="1" applyBorder="1" applyProtection="1">
      <protection locked="0"/>
    </xf>
    <xf numFmtId="0" fontId="0" fillId="4" borderId="6" xfId="0" applyFill="1" applyBorder="1" applyAlignment="1"/>
    <xf numFmtId="9" fontId="0" fillId="6" borderId="5" xfId="0" applyNumberFormat="1" applyFill="1" applyBorder="1"/>
    <xf numFmtId="0" fontId="0" fillId="13" borderId="0" xfId="0" applyFill="1"/>
    <xf numFmtId="0" fontId="3" fillId="13" borderId="0" xfId="0" applyFont="1" applyFill="1" applyProtection="1">
      <protection locked="0"/>
    </xf>
    <xf numFmtId="0" fontId="3" fillId="13" borderId="0" xfId="0" applyFont="1" applyFill="1"/>
    <xf numFmtId="0" fontId="8" fillId="2" borderId="5" xfId="0" applyFont="1" applyFill="1" applyBorder="1" applyAlignment="1">
      <alignment horizontal="center"/>
    </xf>
    <xf numFmtId="0" fontId="9" fillId="0" borderId="0" xfId="0" applyNumberFormat="1" applyFont="1" applyAlignment="1">
      <alignment vertical="top" wrapText="1"/>
    </xf>
    <xf numFmtId="0" fontId="0" fillId="0" borderId="0" xfId="0" applyNumberFormat="1" applyAlignment="1">
      <alignment vertical="top" wrapText="1"/>
    </xf>
    <xf numFmtId="0" fontId="0" fillId="0" borderId="26" xfId="0" applyNumberFormat="1" applyBorder="1" applyAlignment="1">
      <alignment vertical="top" wrapText="1"/>
    </xf>
    <xf numFmtId="0" fontId="0" fillId="0" borderId="25" xfId="0" applyNumberFormat="1" applyBorder="1" applyAlignment="1">
      <alignment vertical="top" wrapText="1"/>
    </xf>
    <xf numFmtId="0" fontId="0" fillId="0" borderId="23" xfId="0" applyNumberFormat="1" applyBorder="1" applyAlignment="1">
      <alignment vertical="top" wrapText="1"/>
    </xf>
    <xf numFmtId="0" fontId="0" fillId="0" borderId="29" xfId="0" applyNumberFormat="1" applyBorder="1" applyAlignment="1">
      <alignment vertical="top" wrapText="1"/>
    </xf>
    <xf numFmtId="0" fontId="0" fillId="0" borderId="28" xfId="0" applyNumberFormat="1" applyBorder="1" applyAlignment="1">
      <alignment vertical="top" wrapText="1"/>
    </xf>
    <xf numFmtId="0" fontId="0" fillId="0" borderId="31" xfId="0" applyNumberFormat="1" applyBorder="1" applyAlignment="1">
      <alignment vertical="top" wrapText="1"/>
    </xf>
    <xf numFmtId="0" fontId="0" fillId="0" borderId="32"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5" xfId="0" applyNumberFormat="1" applyBorder="1" applyAlignment="1">
      <alignment horizontal="center" vertical="top" wrapText="1"/>
    </xf>
    <xf numFmtId="0" fontId="0" fillId="0" borderId="27" xfId="0" applyNumberFormat="1" applyBorder="1" applyAlignment="1">
      <alignment horizontal="center" vertical="top" wrapText="1"/>
    </xf>
    <xf numFmtId="0" fontId="51" fillId="0" borderId="0" xfId="1" quotePrefix="1" applyNumberFormat="1" applyAlignment="1" applyProtection="1">
      <alignment horizontal="center" vertical="top" wrapText="1"/>
    </xf>
    <xf numFmtId="0" fontId="0" fillId="0" borderId="24" xfId="0" applyNumberFormat="1" applyBorder="1" applyAlignment="1">
      <alignment horizontal="center" vertical="top" wrapText="1"/>
    </xf>
    <xf numFmtId="0" fontId="0" fillId="0" borderId="28" xfId="0" applyNumberFormat="1" applyBorder="1" applyAlignment="1">
      <alignment horizontal="center" vertical="top" wrapText="1"/>
    </xf>
    <xf numFmtId="0" fontId="51" fillId="0" borderId="28" xfId="1" quotePrefix="1" applyNumberFormat="1" applyBorder="1" applyAlignment="1" applyProtection="1">
      <alignment horizontal="center" vertical="top" wrapText="1"/>
    </xf>
    <xf numFmtId="0" fontId="0" fillId="0" borderId="30" xfId="0" applyNumberFormat="1" applyBorder="1" applyAlignment="1">
      <alignment horizontal="center" vertical="top" wrapText="1"/>
    </xf>
    <xf numFmtId="0" fontId="0" fillId="0" borderId="32" xfId="0" applyNumberFormat="1" applyBorder="1" applyAlignment="1">
      <alignment horizontal="center" vertical="top" wrapText="1"/>
    </xf>
    <xf numFmtId="0" fontId="0" fillId="0" borderId="33" xfId="0" applyNumberFormat="1" applyBorder="1" applyAlignment="1">
      <alignment horizontal="center" vertical="top" wrapText="1"/>
    </xf>
    <xf numFmtId="3" fontId="21" fillId="6" borderId="5" xfId="0" applyNumberFormat="1" applyFont="1" applyFill="1" applyBorder="1" applyProtection="1">
      <protection locked="0"/>
    </xf>
    <xf numFmtId="0" fontId="0" fillId="14" borderId="5" xfId="0" applyFill="1" applyBorder="1" applyProtection="1">
      <protection locked="0"/>
    </xf>
    <xf numFmtId="0" fontId="9" fillId="4" borderId="7" xfId="0" applyFont="1" applyFill="1" applyBorder="1"/>
    <xf numFmtId="0" fontId="8" fillId="2" borderId="0" xfId="0" applyFont="1" applyFill="1" applyAlignment="1">
      <alignment horizontal="center"/>
    </xf>
    <xf numFmtId="0" fontId="0" fillId="4" borderId="0" xfId="0" applyFill="1" applyBorder="1" applyAlignment="1"/>
    <xf numFmtId="0" fontId="0" fillId="0" borderId="0" xfId="0" applyAlignment="1"/>
    <xf numFmtId="0" fontId="9" fillId="4" borderId="4" xfId="0" applyFont="1" applyFill="1" applyBorder="1" applyAlignment="1">
      <alignment vertical="center"/>
    </xf>
    <xf numFmtId="0" fontId="0" fillId="0" borderId="0" xfId="0" applyAlignment="1">
      <alignment vertical="center"/>
    </xf>
    <xf numFmtId="0" fontId="20" fillId="4" borderId="8"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6" fillId="0" borderId="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29" fillId="6" borderId="8" xfId="0" applyFont="1" applyFill="1" applyBorder="1" applyAlignment="1">
      <alignment horizontal="center"/>
    </xf>
    <xf numFmtId="0" fontId="29" fillId="6" borderId="15" xfId="0" applyFont="1" applyFill="1" applyBorder="1" applyAlignment="1">
      <alignment horizontal="center"/>
    </xf>
    <xf numFmtId="0" fontId="29" fillId="6" borderId="16" xfId="0" applyFont="1" applyFill="1" applyBorder="1" applyAlignment="1">
      <alignment horizontal="center"/>
    </xf>
    <xf numFmtId="0" fontId="20" fillId="4" borderId="4" xfId="0" applyFont="1" applyFill="1" applyBorder="1" applyAlignment="1">
      <alignment vertical="center"/>
    </xf>
    <xf numFmtId="0" fontId="21" fillId="0" borderId="4" xfId="0" applyFont="1" applyBorder="1" applyAlignment="1">
      <alignment vertical="center"/>
    </xf>
    <xf numFmtId="0" fontId="38" fillId="4" borderId="0" xfId="0" applyFont="1" applyFill="1" applyBorder="1" applyAlignment="1"/>
    <xf numFmtId="0" fontId="38" fillId="0" borderId="0" xfId="0" applyFont="1" applyAlignment="1"/>
    <xf numFmtId="0" fontId="23" fillId="4" borderId="4" xfId="0" applyFont="1" applyFill="1" applyBorder="1" applyAlignment="1" applyProtection="1"/>
    <xf numFmtId="0" fontId="0" fillId="0" borderId="0" xfId="0" applyAlignment="1" applyProtection="1"/>
    <xf numFmtId="0" fontId="26" fillId="4" borderId="0" xfId="0" applyFont="1" applyFill="1" applyBorder="1" applyAlignment="1" applyProtection="1">
      <alignment horizontal="left"/>
      <protection locked="0"/>
    </xf>
    <xf numFmtId="0" fontId="0" fillId="0" borderId="0" xfId="0" applyBorder="1" applyAlignment="1" applyProtection="1">
      <alignment horizontal="left"/>
      <protection locked="0"/>
    </xf>
    <xf numFmtId="0" fontId="34" fillId="4" borderId="4" xfId="0" applyFont="1" applyFill="1" applyBorder="1" applyAlignment="1">
      <alignment vertical="center"/>
    </xf>
    <xf numFmtId="0" fontId="35" fillId="0" borderId="4" xfId="0" applyFont="1" applyBorder="1" applyAlignment="1">
      <alignment vertical="center"/>
    </xf>
    <xf numFmtId="0" fontId="1" fillId="4" borderId="8"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2" fillId="5" borderId="8"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4" borderId="4" xfId="0" applyFont="1" applyFill="1" applyBorder="1" applyAlignment="1">
      <alignment horizontal="center"/>
    </xf>
    <xf numFmtId="0" fontId="38" fillId="0" borderId="0" xfId="0" applyFont="1" applyAlignment="1">
      <alignment horizontal="center"/>
    </xf>
    <xf numFmtId="0" fontId="42" fillId="4" borderId="0" xfId="0" applyFont="1" applyFill="1" applyBorder="1" applyAlignment="1">
      <alignment vertical="center"/>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0" fillId="12" borderId="4" xfId="0" applyFont="1" applyFill="1" applyBorder="1" applyAlignment="1">
      <alignment horizontal="center"/>
    </xf>
    <xf numFmtId="0" fontId="50" fillId="12" borderId="0" xfId="0" applyFont="1" applyFill="1" applyBorder="1" applyAlignment="1">
      <alignment horizontal="center"/>
    </xf>
    <xf numFmtId="0" fontId="16" fillId="4" borderId="0" xfId="0" applyFont="1" applyFill="1" applyBorder="1" applyAlignment="1">
      <alignment vertical="center"/>
    </xf>
    <xf numFmtId="0" fontId="26" fillId="6" borderId="8" xfId="0" applyFont="1" applyFill="1" applyBorder="1" applyAlignment="1" applyProtection="1">
      <alignment horizontal="left"/>
      <protection locked="0"/>
    </xf>
    <xf numFmtId="0" fontId="31" fillId="6" borderId="15" xfId="0" applyFont="1" applyFill="1" applyBorder="1" applyAlignment="1" applyProtection="1">
      <alignment horizontal="left"/>
      <protection locked="0"/>
    </xf>
    <xf numFmtId="0" fontId="31" fillId="6" borderId="16" xfId="0" applyFont="1" applyFill="1" applyBorder="1" applyAlignment="1" applyProtection="1">
      <alignment horizontal="left"/>
      <protection locked="0"/>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0" fillId="4" borderId="4" xfId="0" applyFill="1" applyBorder="1" applyAlignment="1">
      <alignment horizontal="center"/>
    </xf>
    <xf numFmtId="0" fontId="0" fillId="4" borderId="0" xfId="0" applyFill="1" applyBorder="1" applyAlignment="1">
      <alignment horizontal="center"/>
    </xf>
    <xf numFmtId="0" fontId="2" fillId="6" borderId="8" xfId="0" applyFont="1"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11" fillId="4" borderId="4" xfId="0" applyFont="1" applyFill="1" applyBorder="1" applyAlignment="1">
      <alignment horizontal="center"/>
    </xf>
    <xf numFmtId="0" fontId="0" fillId="0" borderId="0" xfId="0" applyAlignment="1">
      <alignment horizontal="center"/>
    </xf>
    <xf numFmtId="0" fontId="51" fillId="4" borderId="0" xfId="1" applyFill="1" applyBorder="1" applyAlignment="1" applyProtection="1">
      <alignment horizontal="center"/>
    </xf>
    <xf numFmtId="0" fontId="5" fillId="4" borderId="6" xfId="0" applyFont="1" applyFill="1" applyBorder="1" applyAlignment="1" applyProtection="1">
      <alignment horizontal="center"/>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2" fmlaLink="$P$42" fmlaRange="$P$9:$P$30" sel="12" val="10"/>
</file>

<file path=xl/ctrlProps/ctrlProp2.xml><?xml version="1.0" encoding="utf-8"?>
<formControlPr xmlns="http://schemas.microsoft.com/office/spreadsheetml/2009/9/main" objectType="Drop" dropLines="10" dropStyle="combo" dx="22" fmlaLink="$P$49" fmlaRange="$P$9:$P$30" sel="1" val="0"/>
</file>

<file path=xl/ctrlProps/ctrlProp3.xml><?xml version="1.0" encoding="utf-8"?>
<formControlPr xmlns="http://schemas.microsoft.com/office/spreadsheetml/2009/9/main" objectType="Drop" dropLines="5" dropStyle="combo" dx="22" fmlaLink="$P$34" fmlaRange="$AA$7:$AA$11" sel="1" val="0"/>
</file>

<file path=xl/ctrlProps/ctrlProp4.xml><?xml version="1.0" encoding="utf-8"?>
<formControlPr xmlns="http://schemas.microsoft.com/office/spreadsheetml/2009/9/main" objectType="Drop" dropLines="5" dropStyle="combo" dx="22" fmlaLink="$P$51" fmlaRange="$AA$7:$AA$11" sel="1" val="0"/>
</file>

<file path=xl/ctrlProps/ctrlProp5.xml><?xml version="1.0" encoding="utf-8"?>
<formControlPr xmlns="http://schemas.microsoft.com/office/spreadsheetml/2009/9/main" objectType="Drop" dropLines="6" dropStyle="combo" dx="22" fmlaLink="$U$34" fmlaRange="$W$34:$W$39" sel="1" val="0"/>
</file>

<file path=xl/ctrlProps/ctrlProp6.xml><?xml version="1.0" encoding="utf-8"?>
<formControlPr xmlns="http://schemas.microsoft.com/office/spreadsheetml/2009/9/main" objectType="Drop" dropLines="10" dropStyle="combo" dx="22" fmlaLink="$P$40" fmlaRange="$P$9:$P$30" sel="1" val="0"/>
</file>

<file path=xl/ctrlProps/ctrlProp7.xml><?xml version="1.0" encoding="utf-8"?>
<formControlPr xmlns="http://schemas.microsoft.com/office/spreadsheetml/2009/9/main" objectType="Drop" dropLines="10" dropStyle="combo" dx="22" fmlaLink="$P$46" fmlaRange="$P$9:$P$30" sel="1" val="0"/>
</file>

<file path=xl/ctrlProps/ctrlProp8.xml><?xml version="1.0" encoding="utf-8"?>
<formControlPr xmlns="http://schemas.microsoft.com/office/spreadsheetml/2009/9/main" objectType="Drop" dropLines="6" dropStyle="combo" dx="22" fmlaLink="$U$44" fmlaRange="$W$44:$W$45" sel="1" val="0"/>
</file>

<file path=xl/ctrlProps/ctrlProp9.xml><?xml version="1.0" encoding="utf-8"?>
<formControlPr xmlns="http://schemas.microsoft.com/office/spreadsheetml/2009/9/main" objectType="Drop" dropLines="10" dropStyle="combo" dx="22" fmlaLink="$P$72" fmlaRange="$P$9:$P$30" sel="1" val="0"/>
</file>

<file path=xl/ctrlProps/ctrlProp10.xml><?xml version="1.0" encoding="utf-8"?>
<formControlPr xmlns="http://schemas.microsoft.com/office/spreadsheetml/2009/9/main" objectType="Drop" dropLines="5" dropStyle="combo" dx="22" fmlaLink="$P$74" fmlaRange="$AA$7:$AA$11" sel="1" val="0"/>
</file>

<file path=xl/ctrlProps/ctrlProp11.xml><?xml version="1.0" encoding="utf-8"?>
<formControlPr xmlns="http://schemas.microsoft.com/office/spreadsheetml/2009/9/main" objectType="Drop" dropLines="10" dropStyle="combo" dx="22" fmlaLink="$P$69" fmlaRange="$P$9:$P$30" sel="1" val="0"/>
</file>

<file path=xl/ctrlProps/ctrlProp12.xml><?xml version="1.0" encoding="utf-8"?>
<formControlPr xmlns="http://schemas.microsoft.com/office/spreadsheetml/2009/9/main" objectType="Drop" dropLines="6" dropStyle="combo" dx="22" fmlaLink="$U$67" fmlaRange="$W$44:$W$45" sel="1" val="0"/>
</file>

<file path=xl/ctrlProps/ctrlProp13.xml><?xml version="1.0" encoding="utf-8"?>
<formControlPr xmlns="http://schemas.microsoft.com/office/spreadsheetml/2009/9/main" objectType="Drop" dropLines="10" dropStyle="combo" dx="22" fmlaLink="$P$48" fmlaRange="$P$9:$P$30" sel="18" val="12"/>
</file>

<file path=xl/ctrlProps/ctrlProp14.xml><?xml version="1.0" encoding="utf-8"?>
<formControlPr xmlns="http://schemas.microsoft.com/office/spreadsheetml/2009/9/main" objectType="Drop" dropLines="10" dropStyle="combo" dx="22" fmlaLink="$AF$49" fmlaRange="$P$9:$P$30" sel="14" val="5"/>
</file>

<file path=xl/ctrlProps/ctrlProp15.xml><?xml version="1.0" encoding="utf-8"?>
<formControlPr xmlns="http://schemas.microsoft.com/office/spreadsheetml/2009/9/main" objectType="Drop" dropLines="5" dropStyle="combo" dx="22" fmlaLink="$P$34" fmlaRange="$AA$7:$AA$11" sel="3" val="0"/>
</file>

<file path=xl/ctrlProps/ctrlProp16.xml><?xml version="1.0" encoding="utf-8"?>
<formControlPr xmlns="http://schemas.microsoft.com/office/spreadsheetml/2009/9/main" objectType="Drop" dropLines="5" dropStyle="combo" dx="22" fmlaLink="$AF$51" fmlaRange="$AA$7:$AA$11" sel="2" val="0"/>
</file>

<file path=xl/ctrlProps/ctrlProp17.xml><?xml version="1.0" encoding="utf-8"?>
<formControlPr xmlns="http://schemas.microsoft.com/office/spreadsheetml/2009/9/main" objectType="Drop" dropLines="11" dropStyle="combo" dx="22" fmlaLink="$U$34" fmlaRange="$W$34:$W$44" sel="2" val="0"/>
</file>

<file path=xl/ctrlProps/ctrlProp18.xml><?xml version="1.0" encoding="utf-8"?>
<formControlPr xmlns="http://schemas.microsoft.com/office/spreadsheetml/2009/9/main" objectType="Drop" dropLines="10" dropStyle="combo" dx="22" fmlaLink="$P$46" fmlaRange="$P$9:$P$30" sel="18" val="12"/>
</file>

<file path=xl/ctrlProps/ctrlProp19.xml><?xml version="1.0" encoding="utf-8"?>
<formControlPr xmlns="http://schemas.microsoft.com/office/spreadsheetml/2009/9/main" objectType="Drop" dropLines="10" dropStyle="combo" dx="22" fmlaLink="$AF$46" fmlaRange="$P$9:$P$30" sel="7" val="6"/>
</file>

<file path=xl/ctrlProps/ctrlProp20.xml><?xml version="1.0" encoding="utf-8"?>
<formControlPr xmlns="http://schemas.microsoft.com/office/spreadsheetml/2009/9/main" objectType="Drop" dropLines="6" dropStyle="combo" dx="22" fmlaLink="$U$50" fmlaRange="$W$50:$W$51" sel="1" val="0"/>
</file>

<file path=xl/ctrlProps/ctrlProp21.xml><?xml version="1.0" encoding="utf-8"?>
<formControlPr xmlns="http://schemas.microsoft.com/office/spreadsheetml/2009/9/main" objectType="Drop" dropLines="10" dropStyle="combo" dx="22" fmlaLink="$P$72" fmlaRange="$P$9:$P$30" sel="5" val="3"/>
</file>

<file path=xl/ctrlProps/ctrlProp22.xml><?xml version="1.0" encoding="utf-8"?>
<formControlPr xmlns="http://schemas.microsoft.com/office/spreadsheetml/2009/9/main" objectType="Drop" dropLines="5" dropStyle="combo" dx="22" fmlaLink="$P$74" fmlaRange="$AA$7:$AA$11" sel="2" val="0"/>
</file>

<file path=xl/ctrlProps/ctrlProp23.xml><?xml version="1.0" encoding="utf-8"?>
<formControlPr xmlns="http://schemas.microsoft.com/office/spreadsheetml/2009/9/main" objectType="Drop" dropLines="10" dropStyle="combo" dx="22" fmlaLink="$P$69" fmlaRange="$P$9:$P$30" sel="4" val="0"/>
</file>

<file path=xl/ctrlProps/ctrlProp24.xml><?xml version="1.0" encoding="utf-8"?>
<formControlPr xmlns="http://schemas.microsoft.com/office/spreadsheetml/2009/9/main" objectType="Drop" dropLines="6" dropStyle="combo" dx="22" fmlaLink="$U$67" fmlaRange="$W$50:$W$51" sel="1" val="0"/>
</file>

<file path=xl/ctrlProps/ctrlProp25.xml><?xml version="1.0" encoding="utf-8"?>
<formControlPr xmlns="http://schemas.microsoft.com/office/spreadsheetml/2009/9/main" objectType="Drop" dropLines="2" dropStyle="combo" dx="22" fmlaLink="$AA$16" fmlaRange="$AC$16:$AC$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541020</xdr:colOff>
          <xdr:row>19</xdr:row>
          <xdr:rowOff>144780</xdr:rowOff>
        </xdr:from>
        <xdr:to>
          <xdr:col>11</xdr:col>
          <xdr:colOff>670560</xdr:colOff>
          <xdr:row>21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40</xdr:row>
          <xdr:rowOff>160020</xdr:rowOff>
        </xdr:from>
        <xdr:to>
          <xdr:col>11</xdr:col>
          <xdr:colOff>670560</xdr:colOff>
          <xdr:row>42</xdr:row>
          <xdr:rowOff>22860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160020</xdr:rowOff>
        </xdr:from>
        <xdr:to>
          <xdr:col>11</xdr:col>
          <xdr:colOff>655320</xdr:colOff>
          <xdr:row>18</xdr:row>
          <xdr:rowOff>22860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35</xdr:row>
          <xdr:rowOff>152400</xdr:rowOff>
        </xdr:from>
        <xdr:to>
          <xdr:col>11</xdr:col>
          <xdr:colOff>670560</xdr:colOff>
          <xdr:row>37</xdr:row>
          <xdr:rowOff>7620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51</xdr:row>
      <xdr:rowOff>76200</xdr:rowOff>
    </xdr:from>
    <xdr:to>
      <xdr:col>8</xdr:col>
      <xdr:colOff>523875</xdr:colOff>
      <xdr:row>51</xdr:row>
      <xdr:rowOff>76200</xdr:rowOff>
    </xdr:to>
    <xdr:sp macro="" textlink="">
      <xdr:nvSpPr>
        <xdr:cNvPr id="1801" name="Line 5">
          <a:extLst>
            <a:ext uri="{FF2B5EF4-FFF2-40B4-BE49-F238E27FC236}">
              <a16:creationId xmlns:a16="http://schemas.microsoft.com/office/drawing/2014/main" id="{00000000-0008-0000-0000-000009070000}"/>
            </a:ext>
          </a:extLst>
        </xdr:cNvPr>
        <xdr:cNvSpPr>
          <a:spLocks noChangeShapeType="1"/>
        </xdr:cNvSpPr>
      </xdr:nvSpPr>
      <xdr:spPr bwMode="auto">
        <a:xfrm>
          <a:off x="3543300" y="8677275"/>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52</xdr:row>
      <xdr:rowOff>66675</xdr:rowOff>
    </xdr:from>
    <xdr:to>
      <xdr:col>8</xdr:col>
      <xdr:colOff>523875</xdr:colOff>
      <xdr:row>52</xdr:row>
      <xdr:rowOff>66675</xdr:rowOff>
    </xdr:to>
    <xdr:sp macro="" textlink="">
      <xdr:nvSpPr>
        <xdr:cNvPr id="1802" name="Line 6">
          <a:extLst>
            <a:ext uri="{FF2B5EF4-FFF2-40B4-BE49-F238E27FC236}">
              <a16:creationId xmlns:a16="http://schemas.microsoft.com/office/drawing/2014/main" id="{00000000-0008-0000-0000-00000A070000}"/>
            </a:ext>
          </a:extLst>
        </xdr:cNvPr>
        <xdr:cNvSpPr>
          <a:spLocks noChangeShapeType="1"/>
        </xdr:cNvSpPr>
      </xdr:nvSpPr>
      <xdr:spPr bwMode="auto">
        <a:xfrm>
          <a:off x="3543300" y="88392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31</xdr:row>
      <xdr:rowOff>85725</xdr:rowOff>
    </xdr:from>
    <xdr:to>
      <xdr:col>8</xdr:col>
      <xdr:colOff>561975</xdr:colOff>
      <xdr:row>31</xdr:row>
      <xdr:rowOff>85725</xdr:rowOff>
    </xdr:to>
    <xdr:sp macro="" textlink="">
      <xdr:nvSpPr>
        <xdr:cNvPr id="1803" name="Line 7">
          <a:extLst>
            <a:ext uri="{FF2B5EF4-FFF2-40B4-BE49-F238E27FC236}">
              <a16:creationId xmlns:a16="http://schemas.microsoft.com/office/drawing/2014/main" id="{00000000-0008-0000-0000-00000B070000}"/>
            </a:ext>
          </a:extLst>
        </xdr:cNvPr>
        <xdr:cNvSpPr>
          <a:spLocks noChangeShapeType="1"/>
        </xdr:cNvSpPr>
      </xdr:nvSpPr>
      <xdr:spPr bwMode="auto">
        <a:xfrm>
          <a:off x="3914775" y="52387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32</xdr:row>
      <xdr:rowOff>76200</xdr:rowOff>
    </xdr:from>
    <xdr:to>
      <xdr:col>8</xdr:col>
      <xdr:colOff>561975</xdr:colOff>
      <xdr:row>32</xdr:row>
      <xdr:rowOff>76200</xdr:rowOff>
    </xdr:to>
    <xdr:sp macro="" textlink="">
      <xdr:nvSpPr>
        <xdr:cNvPr id="1804" name="Line 8">
          <a:extLst>
            <a:ext uri="{FF2B5EF4-FFF2-40B4-BE49-F238E27FC236}">
              <a16:creationId xmlns:a16="http://schemas.microsoft.com/office/drawing/2014/main" id="{00000000-0008-0000-0000-00000C070000}"/>
            </a:ext>
          </a:extLst>
        </xdr:cNvPr>
        <xdr:cNvSpPr>
          <a:spLocks noChangeShapeType="1"/>
        </xdr:cNvSpPr>
      </xdr:nvSpPr>
      <xdr:spPr bwMode="auto">
        <a:xfrm>
          <a:off x="3914775" y="54006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15</xdr:row>
          <xdr:rowOff>99060</xdr:rowOff>
        </xdr:from>
        <xdr:to>
          <xdr:col>11</xdr:col>
          <xdr:colOff>655320</xdr:colOff>
          <xdr:row>16</xdr:row>
          <xdr:rowOff>121920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22</xdr:row>
          <xdr:rowOff>160020</xdr:rowOff>
        </xdr:from>
        <xdr:to>
          <xdr:col>11</xdr:col>
          <xdr:colOff>670560</xdr:colOff>
          <xdr:row>24</xdr:row>
          <xdr:rowOff>22860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43</xdr:row>
          <xdr:rowOff>144780</xdr:rowOff>
        </xdr:from>
        <xdr:to>
          <xdr:col>11</xdr:col>
          <xdr:colOff>670560</xdr:colOff>
          <xdr:row>45</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152400</xdr:colOff>
      <xdr:row>18</xdr:row>
      <xdr:rowOff>161925</xdr:rowOff>
    </xdr:from>
    <xdr:to>
      <xdr:col>4</xdr:col>
      <xdr:colOff>114300</xdr:colOff>
      <xdr:row>18</xdr:row>
      <xdr:rowOff>161925</xdr:rowOff>
    </xdr:to>
    <xdr:sp macro="" textlink="">
      <xdr:nvSpPr>
        <xdr:cNvPr id="1805" name="Line 12">
          <a:extLst>
            <a:ext uri="{FF2B5EF4-FFF2-40B4-BE49-F238E27FC236}">
              <a16:creationId xmlns:a16="http://schemas.microsoft.com/office/drawing/2014/main" id="{00000000-0008-0000-0000-00000D070000}"/>
            </a:ext>
          </a:extLst>
        </xdr:cNvPr>
        <xdr:cNvSpPr>
          <a:spLocks noChangeShapeType="1"/>
        </xdr:cNvSpPr>
      </xdr:nvSpPr>
      <xdr:spPr bwMode="auto">
        <a:xfrm>
          <a:off x="1000125" y="3086100"/>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40</xdr:row>
      <xdr:rowOff>9525</xdr:rowOff>
    </xdr:from>
    <xdr:to>
      <xdr:col>4</xdr:col>
      <xdr:colOff>133350</xdr:colOff>
      <xdr:row>40</xdr:row>
      <xdr:rowOff>9525</xdr:rowOff>
    </xdr:to>
    <xdr:sp macro="" textlink="">
      <xdr:nvSpPr>
        <xdr:cNvPr id="1806" name="Line 13">
          <a:extLst>
            <a:ext uri="{FF2B5EF4-FFF2-40B4-BE49-F238E27FC236}">
              <a16:creationId xmlns:a16="http://schemas.microsoft.com/office/drawing/2014/main" id="{00000000-0008-0000-0000-00000E070000}"/>
            </a:ext>
          </a:extLst>
        </xdr:cNvPr>
        <xdr:cNvSpPr>
          <a:spLocks noChangeShapeType="1"/>
        </xdr:cNvSpPr>
      </xdr:nvSpPr>
      <xdr:spPr bwMode="auto">
        <a:xfrm>
          <a:off x="990600" y="672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388620</xdr:colOff>
          <xdr:row>37</xdr:row>
          <xdr:rowOff>22860</xdr:rowOff>
        </xdr:from>
        <xdr:to>
          <xdr:col>11</xdr:col>
          <xdr:colOff>670560</xdr:colOff>
          <xdr:row>38</xdr:row>
          <xdr:rowOff>45720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63</xdr:row>
          <xdr:rowOff>160020</xdr:rowOff>
        </xdr:from>
        <xdr:to>
          <xdr:col>11</xdr:col>
          <xdr:colOff>678180</xdr:colOff>
          <xdr:row>65</xdr:row>
          <xdr:rowOff>7620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58</xdr:row>
          <xdr:rowOff>152400</xdr:rowOff>
        </xdr:from>
        <xdr:to>
          <xdr:col>11</xdr:col>
          <xdr:colOff>678180</xdr:colOff>
          <xdr:row>59</xdr:row>
          <xdr:rowOff>175260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74</xdr:row>
      <xdr:rowOff>76200</xdr:rowOff>
    </xdr:from>
    <xdr:to>
      <xdr:col>8</xdr:col>
      <xdr:colOff>523875</xdr:colOff>
      <xdr:row>74</xdr:row>
      <xdr:rowOff>76200</xdr:rowOff>
    </xdr:to>
    <xdr:sp macro="" textlink="">
      <xdr:nvSpPr>
        <xdr:cNvPr id="1807" name="Line 17">
          <a:extLst>
            <a:ext uri="{FF2B5EF4-FFF2-40B4-BE49-F238E27FC236}">
              <a16:creationId xmlns:a16="http://schemas.microsoft.com/office/drawing/2014/main" id="{00000000-0008-0000-0000-00000F070000}"/>
            </a:ext>
          </a:extLst>
        </xdr:cNvPr>
        <xdr:cNvSpPr>
          <a:spLocks noChangeShapeType="1"/>
        </xdr:cNvSpPr>
      </xdr:nvSpPr>
      <xdr:spPr bwMode="auto">
        <a:xfrm>
          <a:off x="3543300" y="125920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75</xdr:row>
      <xdr:rowOff>66675</xdr:rowOff>
    </xdr:from>
    <xdr:to>
      <xdr:col>8</xdr:col>
      <xdr:colOff>523875</xdr:colOff>
      <xdr:row>75</xdr:row>
      <xdr:rowOff>66675</xdr:rowOff>
    </xdr:to>
    <xdr:sp macro="" textlink="">
      <xdr:nvSpPr>
        <xdr:cNvPr id="1808" name="Line 18">
          <a:extLst>
            <a:ext uri="{FF2B5EF4-FFF2-40B4-BE49-F238E27FC236}">
              <a16:creationId xmlns:a16="http://schemas.microsoft.com/office/drawing/2014/main" id="{00000000-0008-0000-0000-000010070000}"/>
            </a:ext>
          </a:extLst>
        </xdr:cNvPr>
        <xdr:cNvSpPr>
          <a:spLocks noChangeShapeType="1"/>
        </xdr:cNvSpPr>
      </xdr:nvSpPr>
      <xdr:spPr bwMode="auto">
        <a:xfrm>
          <a:off x="3543300" y="127635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563880</xdr:colOff>
          <xdr:row>66</xdr:row>
          <xdr:rowOff>144780</xdr:rowOff>
        </xdr:from>
        <xdr:to>
          <xdr:col>11</xdr:col>
          <xdr:colOff>678180</xdr:colOff>
          <xdr:row>67</xdr:row>
          <xdr:rowOff>175260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142875</xdr:colOff>
      <xdr:row>63</xdr:row>
      <xdr:rowOff>9525</xdr:rowOff>
    </xdr:from>
    <xdr:to>
      <xdr:col>4</xdr:col>
      <xdr:colOff>133350</xdr:colOff>
      <xdr:row>63</xdr:row>
      <xdr:rowOff>9525</xdr:rowOff>
    </xdr:to>
    <xdr:sp macro="" textlink="">
      <xdr:nvSpPr>
        <xdr:cNvPr id="1809" name="Line 20">
          <a:extLst>
            <a:ext uri="{FF2B5EF4-FFF2-40B4-BE49-F238E27FC236}">
              <a16:creationId xmlns:a16="http://schemas.microsoft.com/office/drawing/2014/main" id="{00000000-0008-0000-0000-000011070000}"/>
            </a:ext>
          </a:extLst>
        </xdr:cNvPr>
        <xdr:cNvSpPr>
          <a:spLocks noChangeShapeType="1"/>
        </xdr:cNvSpPr>
      </xdr:nvSpPr>
      <xdr:spPr bwMode="auto">
        <a:xfrm>
          <a:off x="990600" y="1053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388620</xdr:colOff>
          <xdr:row>60</xdr:row>
          <xdr:rowOff>83820</xdr:rowOff>
        </xdr:from>
        <xdr:to>
          <xdr:col>11</xdr:col>
          <xdr:colOff>678180</xdr:colOff>
          <xdr:row>61</xdr:row>
          <xdr:rowOff>106680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1</xdr:col>
      <xdr:colOff>600075</xdr:colOff>
      <xdr:row>10</xdr:row>
      <xdr:rowOff>95250</xdr:rowOff>
    </xdr:from>
    <xdr:to>
      <xdr:col>5</xdr:col>
      <xdr:colOff>533400</xdr:colOff>
      <xdr:row>14</xdr:row>
      <xdr:rowOff>161925</xdr:rowOff>
    </xdr:to>
    <xdr:sp macro="" textlink="">
      <xdr:nvSpPr>
        <xdr:cNvPr id="1810" name="Rectangle 53">
          <a:extLst>
            <a:ext uri="{FF2B5EF4-FFF2-40B4-BE49-F238E27FC236}">
              <a16:creationId xmlns:a16="http://schemas.microsoft.com/office/drawing/2014/main" id="{00000000-0008-0000-0000-000012070000}"/>
            </a:ext>
          </a:extLst>
        </xdr:cNvPr>
        <xdr:cNvSpPr>
          <a:spLocks noChangeArrowheads="1"/>
        </xdr:cNvSpPr>
      </xdr:nvSpPr>
      <xdr:spPr bwMode="auto">
        <a:xfrm>
          <a:off x="790575" y="1657350"/>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4</xdr:col>
      <xdr:colOff>381000</xdr:colOff>
      <xdr:row>8</xdr:row>
      <xdr:rowOff>28575</xdr:rowOff>
    </xdr:from>
    <xdr:to>
      <xdr:col>5</xdr:col>
      <xdr:colOff>219075</xdr:colOff>
      <xdr:row>10</xdr:row>
      <xdr:rowOff>95250</xdr:rowOff>
    </xdr:to>
    <xdr:sp macro="" textlink="">
      <xdr:nvSpPr>
        <xdr:cNvPr id="1811" name="Line 55">
          <a:extLst>
            <a:ext uri="{FF2B5EF4-FFF2-40B4-BE49-F238E27FC236}">
              <a16:creationId xmlns:a16="http://schemas.microsoft.com/office/drawing/2014/main" id="{00000000-0008-0000-0000-000013070000}"/>
            </a:ext>
          </a:extLst>
        </xdr:cNvPr>
        <xdr:cNvSpPr>
          <a:spLocks noChangeShapeType="1"/>
        </xdr:cNvSpPr>
      </xdr:nvSpPr>
      <xdr:spPr bwMode="auto">
        <a:xfrm flipV="1">
          <a:off x="2190750" y="1247775"/>
          <a:ext cx="36195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3</xdr:row>
      <xdr:rowOff>133350</xdr:rowOff>
    </xdr:from>
    <xdr:to>
      <xdr:col>12</xdr:col>
      <xdr:colOff>123825</xdr:colOff>
      <xdr:row>12</xdr:row>
      <xdr:rowOff>152400</xdr:rowOff>
    </xdr:to>
    <xdr:grpSp>
      <xdr:nvGrpSpPr>
        <xdr:cNvPr id="1812" name="Group 77">
          <a:extLst>
            <a:ext uri="{FF2B5EF4-FFF2-40B4-BE49-F238E27FC236}">
              <a16:creationId xmlns:a16="http://schemas.microsoft.com/office/drawing/2014/main" id="{00000000-0008-0000-0000-000014070000}"/>
            </a:ext>
          </a:extLst>
        </xdr:cNvPr>
        <xdr:cNvGrpSpPr>
          <a:grpSpLocks/>
        </xdr:cNvGrpSpPr>
      </xdr:nvGrpSpPr>
      <xdr:grpSpPr bwMode="auto">
        <a:xfrm>
          <a:off x="4960620" y="453390"/>
          <a:ext cx="2120265" cy="1550670"/>
          <a:chOff x="509" y="75"/>
          <a:chExt cx="217" cy="138"/>
        </a:xfrm>
      </xdr:grpSpPr>
      <xdr:sp macro="" textlink="">
        <xdr:nvSpPr>
          <xdr:cNvPr id="1859" name="Rectangle 59">
            <a:extLst>
              <a:ext uri="{FF2B5EF4-FFF2-40B4-BE49-F238E27FC236}">
                <a16:creationId xmlns:a16="http://schemas.microsoft.com/office/drawing/2014/main" id="{00000000-0008-0000-0000-000043070000}"/>
              </a:ext>
            </a:extLst>
          </xdr:cNvPr>
          <xdr:cNvSpPr>
            <a:spLocks noChangeArrowheads="1"/>
          </xdr:cNvSpPr>
        </xdr:nvSpPr>
        <xdr:spPr bwMode="auto">
          <a:xfrm>
            <a:off x="509" y="75"/>
            <a:ext cx="217" cy="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18" y="88"/>
            <a:ext cx="199" cy="11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Step 1b:  Insert the kVA           rating (PF) power factor and (Z) impedence of  transformer. </a:t>
            </a:r>
            <a:r>
              <a:rPr lang="en-US" sz="800" b="0" i="0" u="none" strike="noStrike" baseline="0">
                <a:solidFill>
                  <a:srgbClr val="000000"/>
                </a:solidFill>
                <a:latin typeface="Arial"/>
                <a:cs typeface="Arial"/>
              </a:rPr>
              <a:t>(Note: When you insert the kVA rating, power factor and impedence you must select a voltage from the select the Voltage and Phase from dropdown box before the value will be calculated.)</a:t>
            </a: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161925</xdr:colOff>
      <xdr:row>11</xdr:row>
      <xdr:rowOff>66675</xdr:rowOff>
    </xdr:from>
    <xdr:to>
      <xdr:col>7</xdr:col>
      <xdr:colOff>28575</xdr:colOff>
      <xdr:row>14</xdr:row>
      <xdr:rowOff>66675</xdr:rowOff>
    </xdr:to>
    <xdr:grpSp>
      <xdr:nvGrpSpPr>
        <xdr:cNvPr id="1813" name="Group 62">
          <a:extLst>
            <a:ext uri="{FF2B5EF4-FFF2-40B4-BE49-F238E27FC236}">
              <a16:creationId xmlns:a16="http://schemas.microsoft.com/office/drawing/2014/main" id="{00000000-0008-0000-0000-000015070000}"/>
            </a:ext>
          </a:extLst>
        </xdr:cNvPr>
        <xdr:cNvGrpSpPr>
          <a:grpSpLocks/>
        </xdr:cNvGrpSpPr>
      </xdr:nvGrpSpPr>
      <xdr:grpSpPr bwMode="auto">
        <a:xfrm>
          <a:off x="3194685" y="1750695"/>
          <a:ext cx="491490" cy="495300"/>
          <a:chOff x="306" y="183"/>
          <a:chExt cx="50" cy="53"/>
        </a:xfrm>
      </xdr:grpSpPr>
      <xdr:sp macro="" textlink="">
        <xdr:nvSpPr>
          <xdr:cNvPr id="1857" name="Rectangle 56">
            <a:extLst>
              <a:ext uri="{FF2B5EF4-FFF2-40B4-BE49-F238E27FC236}">
                <a16:creationId xmlns:a16="http://schemas.microsoft.com/office/drawing/2014/main" id="{00000000-0008-0000-0000-000041070000}"/>
              </a:ext>
            </a:extLst>
          </xdr:cNvPr>
          <xdr:cNvSpPr>
            <a:spLocks noChangeArrowheads="1"/>
          </xdr:cNvSpPr>
        </xdr:nvSpPr>
        <xdr:spPr bwMode="auto">
          <a:xfrm>
            <a:off x="306" y="183"/>
            <a:ext cx="50" cy="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322" y="199"/>
            <a:ext cx="26" cy="2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or</a:t>
            </a:r>
          </a:p>
        </xdr:txBody>
      </xdr:sp>
    </xdr:grpSp>
    <xdr:clientData/>
  </xdr:twoCellAnchor>
  <xdr:twoCellAnchor>
    <xdr:from>
      <xdr:col>7</xdr:col>
      <xdr:colOff>342900</xdr:colOff>
      <xdr:row>7</xdr:row>
      <xdr:rowOff>161925</xdr:rowOff>
    </xdr:from>
    <xdr:to>
      <xdr:col>7</xdr:col>
      <xdr:colOff>533400</xdr:colOff>
      <xdr:row>10</xdr:row>
      <xdr:rowOff>123825</xdr:rowOff>
    </xdr:to>
    <xdr:sp macro="" textlink="">
      <xdr:nvSpPr>
        <xdr:cNvPr id="1814" name="Line 64">
          <a:extLst>
            <a:ext uri="{FF2B5EF4-FFF2-40B4-BE49-F238E27FC236}">
              <a16:creationId xmlns:a16="http://schemas.microsoft.com/office/drawing/2014/main" id="{00000000-0008-0000-0000-000016070000}"/>
            </a:ext>
          </a:extLst>
        </xdr:cNvPr>
        <xdr:cNvSpPr>
          <a:spLocks noChangeShapeType="1"/>
        </xdr:cNvSpPr>
      </xdr:nvSpPr>
      <xdr:spPr bwMode="auto">
        <a:xfrm flipV="1">
          <a:off x="3895725" y="1209675"/>
          <a:ext cx="190500"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123825</xdr:rowOff>
    </xdr:from>
    <xdr:to>
      <xdr:col>7</xdr:col>
      <xdr:colOff>581025</xdr:colOff>
      <xdr:row>13</xdr:row>
      <xdr:rowOff>95250</xdr:rowOff>
    </xdr:to>
    <xdr:sp macro="" textlink="">
      <xdr:nvSpPr>
        <xdr:cNvPr id="1815" name="Line 65">
          <a:extLst>
            <a:ext uri="{FF2B5EF4-FFF2-40B4-BE49-F238E27FC236}">
              <a16:creationId xmlns:a16="http://schemas.microsoft.com/office/drawing/2014/main" id="{00000000-0008-0000-0000-000017070000}"/>
            </a:ext>
          </a:extLst>
        </xdr:cNvPr>
        <xdr:cNvSpPr>
          <a:spLocks noChangeShapeType="1"/>
        </xdr:cNvSpPr>
      </xdr:nvSpPr>
      <xdr:spPr bwMode="auto">
        <a:xfrm>
          <a:off x="3895725" y="1685925"/>
          <a:ext cx="238125"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47625</xdr:rowOff>
    </xdr:from>
    <xdr:to>
      <xdr:col>9</xdr:col>
      <xdr:colOff>38100</xdr:colOff>
      <xdr:row>10</xdr:row>
      <xdr:rowOff>123825</xdr:rowOff>
    </xdr:to>
    <xdr:sp macro="" textlink="">
      <xdr:nvSpPr>
        <xdr:cNvPr id="1816" name="Line 66">
          <a:extLst>
            <a:ext uri="{FF2B5EF4-FFF2-40B4-BE49-F238E27FC236}">
              <a16:creationId xmlns:a16="http://schemas.microsoft.com/office/drawing/2014/main" id="{00000000-0008-0000-0000-000018070000}"/>
            </a:ext>
          </a:extLst>
        </xdr:cNvPr>
        <xdr:cNvSpPr>
          <a:spLocks noChangeShapeType="1"/>
        </xdr:cNvSpPr>
      </xdr:nvSpPr>
      <xdr:spPr bwMode="auto">
        <a:xfrm flipV="1">
          <a:off x="3895725" y="1609725"/>
          <a:ext cx="9239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11</xdr:row>
      <xdr:rowOff>28575</xdr:rowOff>
    </xdr:from>
    <xdr:to>
      <xdr:col>5</xdr:col>
      <xdr:colOff>352425</xdr:colOff>
      <xdr:row>14</xdr:row>
      <xdr:rowOff>57150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952500" y="1762125"/>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1a:  Insert available </a:t>
          </a:r>
        </a:p>
        <a:p>
          <a:pPr algn="ctr" rtl="0">
            <a:defRPr sz="1000"/>
          </a:pPr>
          <a:r>
            <a:rPr lang="en-US" sz="1000" b="1" i="0" u="none" strike="noStrike" baseline="0">
              <a:solidFill>
                <a:srgbClr val="000000"/>
              </a:solidFill>
              <a:latin typeface="Arial"/>
              <a:cs typeface="Arial"/>
            </a:rPr>
            <a:t>fault current ampere rating from local utility</a:t>
          </a:r>
        </a:p>
      </xdr:txBody>
    </xdr:sp>
    <xdr:clientData/>
  </xdr:twoCellAnchor>
  <xdr:twoCellAnchor>
    <xdr:from>
      <xdr:col>11</xdr:col>
      <xdr:colOff>485775</xdr:colOff>
      <xdr:row>13</xdr:row>
      <xdr:rowOff>9525</xdr:rowOff>
    </xdr:from>
    <xdr:to>
      <xdr:col>11</xdr:col>
      <xdr:colOff>485775</xdr:colOff>
      <xdr:row>15</xdr:row>
      <xdr:rowOff>76200</xdr:rowOff>
    </xdr:to>
    <xdr:sp macro="" textlink="">
      <xdr:nvSpPr>
        <xdr:cNvPr id="1818" name="Line 68">
          <a:extLst>
            <a:ext uri="{FF2B5EF4-FFF2-40B4-BE49-F238E27FC236}">
              <a16:creationId xmlns:a16="http://schemas.microsoft.com/office/drawing/2014/main" id="{00000000-0008-0000-0000-00001A070000}"/>
            </a:ext>
          </a:extLst>
        </xdr:cNvPr>
        <xdr:cNvSpPr>
          <a:spLocks noChangeShapeType="1"/>
        </xdr:cNvSpPr>
      </xdr:nvSpPr>
      <xdr:spPr bwMode="auto">
        <a:xfrm>
          <a:off x="6486525" y="2076450"/>
          <a:ext cx="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20</xdr:row>
      <xdr:rowOff>104775</xdr:rowOff>
    </xdr:from>
    <xdr:to>
      <xdr:col>5</xdr:col>
      <xdr:colOff>600075</xdr:colOff>
      <xdr:row>23</xdr:row>
      <xdr:rowOff>161925</xdr:rowOff>
    </xdr:to>
    <xdr:sp macro="" textlink="">
      <xdr:nvSpPr>
        <xdr:cNvPr id="1819" name="Rectangle 69">
          <a:extLst>
            <a:ext uri="{FF2B5EF4-FFF2-40B4-BE49-F238E27FC236}">
              <a16:creationId xmlns:a16="http://schemas.microsoft.com/office/drawing/2014/main" id="{00000000-0008-0000-0000-00001B070000}"/>
            </a:ext>
          </a:extLst>
        </xdr:cNvPr>
        <xdr:cNvSpPr>
          <a:spLocks noChangeArrowheads="1"/>
        </xdr:cNvSpPr>
      </xdr:nvSpPr>
      <xdr:spPr bwMode="auto">
        <a:xfrm>
          <a:off x="800100" y="3371850"/>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66675</xdr:colOff>
      <xdr:row>21</xdr:row>
      <xdr:rowOff>38100</xdr:rowOff>
    </xdr:from>
    <xdr:to>
      <xdr:col>5</xdr:col>
      <xdr:colOff>457200</xdr:colOff>
      <xdr:row>23</xdr:row>
      <xdr:rowOff>66675</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914400" y="3476625"/>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3: Insert the Length of one conductor </a:t>
          </a:r>
        </a:p>
      </xdr:txBody>
    </xdr:sp>
    <xdr:clientData/>
  </xdr:twoCellAnchor>
  <xdr:twoCellAnchor>
    <xdr:from>
      <xdr:col>6</xdr:col>
      <xdr:colOff>57150</xdr:colOff>
      <xdr:row>17</xdr:row>
      <xdr:rowOff>133350</xdr:rowOff>
    </xdr:from>
    <xdr:to>
      <xdr:col>7</xdr:col>
      <xdr:colOff>533400</xdr:colOff>
      <xdr:row>22</xdr:row>
      <xdr:rowOff>95250</xdr:rowOff>
    </xdr:to>
    <xdr:sp macro="" textlink="">
      <xdr:nvSpPr>
        <xdr:cNvPr id="1821" name="Line 71">
          <a:extLst>
            <a:ext uri="{FF2B5EF4-FFF2-40B4-BE49-F238E27FC236}">
              <a16:creationId xmlns:a16="http://schemas.microsoft.com/office/drawing/2014/main" id="{00000000-0008-0000-0000-00001D070000}"/>
            </a:ext>
          </a:extLst>
        </xdr:cNvPr>
        <xdr:cNvSpPr>
          <a:spLocks noChangeShapeType="1"/>
        </xdr:cNvSpPr>
      </xdr:nvSpPr>
      <xdr:spPr bwMode="auto">
        <a:xfrm flipV="1">
          <a:off x="3000375" y="2886075"/>
          <a:ext cx="1085850" cy="819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24</xdr:row>
      <xdr:rowOff>152400</xdr:rowOff>
    </xdr:from>
    <xdr:to>
      <xdr:col>6</xdr:col>
      <xdr:colOff>76200</xdr:colOff>
      <xdr:row>28</xdr:row>
      <xdr:rowOff>0</xdr:rowOff>
    </xdr:to>
    <xdr:sp macro="" textlink="">
      <xdr:nvSpPr>
        <xdr:cNvPr id="1822" name="Rectangle 75">
          <a:extLst>
            <a:ext uri="{FF2B5EF4-FFF2-40B4-BE49-F238E27FC236}">
              <a16:creationId xmlns:a16="http://schemas.microsoft.com/office/drawing/2014/main" id="{00000000-0008-0000-0000-00001E070000}"/>
            </a:ext>
          </a:extLst>
        </xdr:cNvPr>
        <xdr:cNvSpPr>
          <a:spLocks noChangeArrowheads="1"/>
        </xdr:cNvSpPr>
      </xdr:nvSpPr>
      <xdr:spPr bwMode="auto">
        <a:xfrm>
          <a:off x="942975" y="41052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190500</xdr:colOff>
      <xdr:row>25</xdr:row>
      <xdr:rowOff>76200</xdr:rowOff>
    </xdr:from>
    <xdr:to>
      <xdr:col>6</xdr:col>
      <xdr:colOff>0</xdr:colOff>
      <xdr:row>27</xdr:row>
      <xdr:rowOff>85725</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1038225" y="42005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4: Insert the number of conductors per phase.</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6</xdr:col>
      <xdr:colOff>85725</xdr:colOff>
      <xdr:row>19</xdr:row>
      <xdr:rowOff>104775</xdr:rowOff>
    </xdr:from>
    <xdr:to>
      <xdr:col>7</xdr:col>
      <xdr:colOff>571500</xdr:colOff>
      <xdr:row>26</xdr:row>
      <xdr:rowOff>133350</xdr:rowOff>
    </xdr:to>
    <xdr:sp macro="" textlink="">
      <xdr:nvSpPr>
        <xdr:cNvPr id="1824" name="Line 79">
          <a:extLst>
            <a:ext uri="{FF2B5EF4-FFF2-40B4-BE49-F238E27FC236}">
              <a16:creationId xmlns:a16="http://schemas.microsoft.com/office/drawing/2014/main" id="{00000000-0008-0000-0000-000020070000}"/>
            </a:ext>
          </a:extLst>
        </xdr:cNvPr>
        <xdr:cNvSpPr>
          <a:spLocks noChangeShapeType="1"/>
        </xdr:cNvSpPr>
      </xdr:nvSpPr>
      <xdr:spPr bwMode="auto">
        <a:xfrm flipV="1">
          <a:off x="3028950" y="3200400"/>
          <a:ext cx="1095375" cy="12287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12</xdr:row>
      <xdr:rowOff>133350</xdr:rowOff>
    </xdr:from>
    <xdr:to>
      <xdr:col>6</xdr:col>
      <xdr:colOff>161925</xdr:colOff>
      <xdr:row>12</xdr:row>
      <xdr:rowOff>133350</xdr:rowOff>
    </xdr:to>
    <xdr:sp macro="" textlink="">
      <xdr:nvSpPr>
        <xdr:cNvPr id="1825" name="Line 81">
          <a:extLst>
            <a:ext uri="{FF2B5EF4-FFF2-40B4-BE49-F238E27FC236}">
              <a16:creationId xmlns:a16="http://schemas.microsoft.com/office/drawing/2014/main" id="{00000000-0008-0000-0000-000021070000}"/>
            </a:ext>
          </a:extLst>
        </xdr:cNvPr>
        <xdr:cNvSpPr>
          <a:spLocks noChangeShapeType="1"/>
        </xdr:cNvSpPr>
      </xdr:nvSpPr>
      <xdr:spPr bwMode="auto">
        <a:xfrm>
          <a:off x="2867025" y="2038350"/>
          <a:ext cx="238125"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14</xdr:row>
      <xdr:rowOff>66675</xdr:rowOff>
    </xdr:from>
    <xdr:to>
      <xdr:col>6</xdr:col>
      <xdr:colOff>409575</xdr:colOff>
      <xdr:row>15</xdr:row>
      <xdr:rowOff>76200</xdr:rowOff>
    </xdr:to>
    <xdr:sp macro="" textlink="">
      <xdr:nvSpPr>
        <xdr:cNvPr id="1826" name="Line 82">
          <a:extLst>
            <a:ext uri="{FF2B5EF4-FFF2-40B4-BE49-F238E27FC236}">
              <a16:creationId xmlns:a16="http://schemas.microsoft.com/office/drawing/2014/main" id="{00000000-0008-0000-0000-000022070000}"/>
            </a:ext>
          </a:extLst>
        </xdr:cNvPr>
        <xdr:cNvSpPr>
          <a:spLocks noChangeShapeType="1"/>
        </xdr:cNvSpPr>
      </xdr:nvSpPr>
      <xdr:spPr bwMode="auto">
        <a:xfrm>
          <a:off x="3352800" y="2305050"/>
          <a:ext cx="0" cy="1809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15</xdr:row>
      <xdr:rowOff>66675</xdr:rowOff>
    </xdr:from>
    <xdr:to>
      <xdr:col>10</xdr:col>
      <xdr:colOff>314325</xdr:colOff>
      <xdr:row>15</xdr:row>
      <xdr:rowOff>66675</xdr:rowOff>
    </xdr:to>
    <xdr:sp macro="" textlink="">
      <xdr:nvSpPr>
        <xdr:cNvPr id="1827" name="Line 83">
          <a:extLst>
            <a:ext uri="{FF2B5EF4-FFF2-40B4-BE49-F238E27FC236}">
              <a16:creationId xmlns:a16="http://schemas.microsoft.com/office/drawing/2014/main" id="{00000000-0008-0000-0000-000023070000}"/>
            </a:ext>
          </a:extLst>
        </xdr:cNvPr>
        <xdr:cNvSpPr>
          <a:spLocks noChangeShapeType="1"/>
        </xdr:cNvSpPr>
      </xdr:nvSpPr>
      <xdr:spPr bwMode="auto">
        <a:xfrm flipV="1">
          <a:off x="3343275" y="2476500"/>
          <a:ext cx="236220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9525</xdr:rowOff>
    </xdr:from>
    <xdr:to>
      <xdr:col>10</xdr:col>
      <xdr:colOff>323850</xdr:colOff>
      <xdr:row>15</xdr:row>
      <xdr:rowOff>76200</xdr:rowOff>
    </xdr:to>
    <xdr:sp macro="" textlink="">
      <xdr:nvSpPr>
        <xdr:cNvPr id="1828" name="Line 84">
          <a:extLst>
            <a:ext uri="{FF2B5EF4-FFF2-40B4-BE49-F238E27FC236}">
              <a16:creationId xmlns:a16="http://schemas.microsoft.com/office/drawing/2014/main" id="{00000000-0008-0000-0000-000024070000}"/>
            </a:ext>
          </a:extLst>
        </xdr:cNvPr>
        <xdr:cNvSpPr>
          <a:spLocks noChangeShapeType="1"/>
        </xdr:cNvSpPr>
      </xdr:nvSpPr>
      <xdr:spPr bwMode="auto">
        <a:xfrm flipH="1">
          <a:off x="5715000" y="2076450"/>
          <a:ext cx="0" cy="4095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15</xdr:row>
      <xdr:rowOff>66675</xdr:rowOff>
    </xdr:from>
    <xdr:to>
      <xdr:col>8</xdr:col>
      <xdr:colOff>361950</xdr:colOff>
      <xdr:row>15</xdr:row>
      <xdr:rowOff>66675</xdr:rowOff>
    </xdr:to>
    <xdr:sp macro="" textlink="">
      <xdr:nvSpPr>
        <xdr:cNvPr id="1829" name="Line 85">
          <a:extLst>
            <a:ext uri="{FF2B5EF4-FFF2-40B4-BE49-F238E27FC236}">
              <a16:creationId xmlns:a16="http://schemas.microsoft.com/office/drawing/2014/main" id="{00000000-0008-0000-0000-000025070000}"/>
            </a:ext>
          </a:extLst>
        </xdr:cNvPr>
        <xdr:cNvSpPr>
          <a:spLocks noChangeShapeType="1"/>
        </xdr:cNvSpPr>
      </xdr:nvSpPr>
      <xdr:spPr bwMode="auto">
        <a:xfrm>
          <a:off x="3771900"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15</xdr:row>
      <xdr:rowOff>66675</xdr:rowOff>
    </xdr:from>
    <xdr:to>
      <xdr:col>7</xdr:col>
      <xdr:colOff>266700</xdr:colOff>
      <xdr:row>15</xdr:row>
      <xdr:rowOff>66675</xdr:rowOff>
    </xdr:to>
    <xdr:sp macro="" textlink="">
      <xdr:nvSpPr>
        <xdr:cNvPr id="1830" name="Line 86">
          <a:extLst>
            <a:ext uri="{FF2B5EF4-FFF2-40B4-BE49-F238E27FC236}">
              <a16:creationId xmlns:a16="http://schemas.microsoft.com/office/drawing/2014/main" id="{00000000-0008-0000-0000-000026070000}"/>
            </a:ext>
          </a:extLst>
        </xdr:cNvPr>
        <xdr:cNvSpPr>
          <a:spLocks noChangeShapeType="1"/>
        </xdr:cNvSpPr>
      </xdr:nvSpPr>
      <xdr:spPr bwMode="auto">
        <a:xfrm>
          <a:off x="3476625" y="2476500"/>
          <a:ext cx="342900"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15</xdr:row>
      <xdr:rowOff>66675</xdr:rowOff>
    </xdr:from>
    <xdr:to>
      <xdr:col>9</xdr:col>
      <xdr:colOff>419100</xdr:colOff>
      <xdr:row>15</xdr:row>
      <xdr:rowOff>66675</xdr:rowOff>
    </xdr:to>
    <xdr:sp macro="" textlink="">
      <xdr:nvSpPr>
        <xdr:cNvPr id="1831" name="Line 87">
          <a:extLst>
            <a:ext uri="{FF2B5EF4-FFF2-40B4-BE49-F238E27FC236}">
              <a16:creationId xmlns:a16="http://schemas.microsoft.com/office/drawing/2014/main" id="{00000000-0008-0000-0000-000027070000}"/>
            </a:ext>
          </a:extLst>
        </xdr:cNvPr>
        <xdr:cNvSpPr>
          <a:spLocks noChangeShapeType="1"/>
        </xdr:cNvSpPr>
      </xdr:nvSpPr>
      <xdr:spPr bwMode="auto">
        <a:xfrm>
          <a:off x="4448175"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600075</xdr:colOff>
      <xdr:row>12</xdr:row>
      <xdr:rowOff>133350</xdr:rowOff>
    </xdr:from>
    <xdr:to>
      <xdr:col>6</xdr:col>
      <xdr:colOff>114300</xdr:colOff>
      <xdr:row>12</xdr:row>
      <xdr:rowOff>133350</xdr:rowOff>
    </xdr:to>
    <xdr:sp macro="" textlink="">
      <xdr:nvSpPr>
        <xdr:cNvPr id="1832" name="Line 88">
          <a:extLst>
            <a:ext uri="{FF2B5EF4-FFF2-40B4-BE49-F238E27FC236}">
              <a16:creationId xmlns:a16="http://schemas.microsoft.com/office/drawing/2014/main" id="{00000000-0008-0000-0000-000028070000}"/>
            </a:ext>
          </a:extLst>
        </xdr:cNvPr>
        <xdr:cNvSpPr>
          <a:spLocks noChangeShapeType="1"/>
        </xdr:cNvSpPr>
      </xdr:nvSpPr>
      <xdr:spPr bwMode="auto">
        <a:xfrm>
          <a:off x="2933700" y="2038350"/>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142875</xdr:rowOff>
    </xdr:from>
    <xdr:to>
      <xdr:col>10</xdr:col>
      <xdr:colOff>323850</xdr:colOff>
      <xdr:row>14</xdr:row>
      <xdr:rowOff>95250</xdr:rowOff>
    </xdr:to>
    <xdr:sp macro="" textlink="">
      <xdr:nvSpPr>
        <xdr:cNvPr id="1833" name="Line 89">
          <a:extLst>
            <a:ext uri="{FF2B5EF4-FFF2-40B4-BE49-F238E27FC236}">
              <a16:creationId xmlns:a16="http://schemas.microsoft.com/office/drawing/2014/main" id="{00000000-0008-0000-0000-000029070000}"/>
            </a:ext>
          </a:extLst>
        </xdr:cNvPr>
        <xdr:cNvSpPr>
          <a:spLocks noChangeShapeType="1"/>
        </xdr:cNvSpPr>
      </xdr:nvSpPr>
      <xdr:spPr bwMode="auto">
        <a:xfrm rot="-5400000">
          <a:off x="5653087" y="2271713"/>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16</xdr:row>
      <xdr:rowOff>19050</xdr:rowOff>
    </xdr:from>
    <xdr:to>
      <xdr:col>6</xdr:col>
      <xdr:colOff>142875</xdr:colOff>
      <xdr:row>19</xdr:row>
      <xdr:rowOff>76200</xdr:rowOff>
    </xdr:to>
    <xdr:sp macro="" textlink="">
      <xdr:nvSpPr>
        <xdr:cNvPr id="1834" name="Rectangle 92">
          <a:extLst>
            <a:ext uri="{FF2B5EF4-FFF2-40B4-BE49-F238E27FC236}">
              <a16:creationId xmlns:a16="http://schemas.microsoft.com/office/drawing/2014/main" id="{00000000-0008-0000-0000-00002A070000}"/>
            </a:ext>
          </a:extLst>
        </xdr:cNvPr>
        <xdr:cNvSpPr>
          <a:spLocks noChangeArrowheads="1"/>
        </xdr:cNvSpPr>
      </xdr:nvSpPr>
      <xdr:spPr bwMode="auto">
        <a:xfrm>
          <a:off x="952500" y="2600325"/>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219075</xdr:colOff>
      <xdr:row>16</xdr:row>
      <xdr:rowOff>123825</xdr:rowOff>
    </xdr:from>
    <xdr:to>
      <xdr:col>6</xdr:col>
      <xdr:colOff>0</xdr:colOff>
      <xdr:row>18</xdr:row>
      <xdr:rowOff>152400</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066800" y="2705100"/>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2: Select type of conductor and conduit</a:t>
          </a:r>
        </a:p>
      </xdr:txBody>
    </xdr:sp>
    <xdr:clientData/>
  </xdr:twoCellAnchor>
  <xdr:twoCellAnchor>
    <xdr:from>
      <xdr:col>8</xdr:col>
      <xdr:colOff>428625</xdr:colOff>
      <xdr:row>16</xdr:row>
      <xdr:rowOff>38100</xdr:rowOff>
    </xdr:from>
    <xdr:to>
      <xdr:col>9</xdr:col>
      <xdr:colOff>38100</xdr:colOff>
      <xdr:row>16</xdr:row>
      <xdr:rowOff>161925</xdr:rowOff>
    </xdr:to>
    <xdr:sp macro="" textlink="">
      <xdr:nvSpPr>
        <xdr:cNvPr id="1836" name="Line 94">
          <a:extLst>
            <a:ext uri="{FF2B5EF4-FFF2-40B4-BE49-F238E27FC236}">
              <a16:creationId xmlns:a16="http://schemas.microsoft.com/office/drawing/2014/main" id="{00000000-0008-0000-0000-00002C070000}"/>
            </a:ext>
          </a:extLst>
        </xdr:cNvPr>
        <xdr:cNvSpPr>
          <a:spLocks noChangeShapeType="1"/>
        </xdr:cNvSpPr>
      </xdr:nvSpPr>
      <xdr:spPr bwMode="auto">
        <a:xfrm>
          <a:off x="4591050" y="2619375"/>
          <a:ext cx="228600" cy="123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16</xdr:row>
      <xdr:rowOff>28575</xdr:rowOff>
    </xdr:from>
    <xdr:to>
      <xdr:col>8</xdr:col>
      <xdr:colOff>428625</xdr:colOff>
      <xdr:row>16</xdr:row>
      <xdr:rowOff>161925</xdr:rowOff>
    </xdr:to>
    <xdr:sp macro="" textlink="">
      <xdr:nvSpPr>
        <xdr:cNvPr id="1837" name="Line 95">
          <a:extLst>
            <a:ext uri="{FF2B5EF4-FFF2-40B4-BE49-F238E27FC236}">
              <a16:creationId xmlns:a16="http://schemas.microsoft.com/office/drawing/2014/main" id="{00000000-0008-0000-0000-00002D070000}"/>
            </a:ext>
          </a:extLst>
        </xdr:cNvPr>
        <xdr:cNvSpPr>
          <a:spLocks noChangeShapeType="1"/>
        </xdr:cNvSpPr>
      </xdr:nvSpPr>
      <xdr:spPr bwMode="auto">
        <a:xfrm flipH="1">
          <a:off x="3114675" y="2609850"/>
          <a:ext cx="1476375"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27</xdr:row>
      <xdr:rowOff>76200</xdr:rowOff>
    </xdr:from>
    <xdr:to>
      <xdr:col>11</xdr:col>
      <xdr:colOff>685800</xdr:colOff>
      <xdr:row>30</xdr:row>
      <xdr:rowOff>47625</xdr:rowOff>
    </xdr:to>
    <xdr:grpSp>
      <xdr:nvGrpSpPr>
        <xdr:cNvPr id="1838" name="Group 105">
          <a:extLst>
            <a:ext uri="{FF2B5EF4-FFF2-40B4-BE49-F238E27FC236}">
              <a16:creationId xmlns:a16="http://schemas.microsoft.com/office/drawing/2014/main" id="{00000000-0008-0000-0000-00002E070000}"/>
            </a:ext>
          </a:extLst>
        </xdr:cNvPr>
        <xdr:cNvGrpSpPr>
          <a:grpSpLocks/>
        </xdr:cNvGrpSpPr>
      </xdr:nvGrpSpPr>
      <xdr:grpSpPr bwMode="auto">
        <a:xfrm>
          <a:off x="5170170" y="4434840"/>
          <a:ext cx="1687830" cy="474345"/>
          <a:chOff x="528" y="477"/>
          <a:chExt cx="174" cy="51"/>
        </a:xfrm>
      </xdr:grpSpPr>
      <xdr:sp macro="" textlink="">
        <xdr:nvSpPr>
          <xdr:cNvPr id="1855" name="Rectangle 96">
            <a:extLst>
              <a:ext uri="{FF2B5EF4-FFF2-40B4-BE49-F238E27FC236}">
                <a16:creationId xmlns:a16="http://schemas.microsoft.com/office/drawing/2014/main" id="{00000000-0008-0000-0000-00003F070000}"/>
              </a:ext>
            </a:extLst>
          </xdr:cNvPr>
          <xdr:cNvSpPr>
            <a:spLocks noChangeArrowheads="1"/>
          </xdr:cNvSpPr>
        </xdr:nvSpPr>
        <xdr:spPr bwMode="auto">
          <a:xfrm>
            <a:off x="528" y="477"/>
            <a:ext cx="174"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33" y="484"/>
            <a:ext cx="162"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5b: Select neutral conductor size.</a:t>
            </a:r>
          </a:p>
          <a:p>
            <a:pPr algn="ctr" rtl="0">
              <a:defRPr sz="1000"/>
            </a:pPr>
            <a:endParaRPr lang="en-US" sz="1000" b="1" i="0" u="none" strike="noStrike" baseline="0">
              <a:solidFill>
                <a:srgbClr val="000000"/>
              </a:solidFill>
              <a:latin typeface="Arial"/>
              <a:cs typeface="Arial"/>
            </a:endParaRPr>
          </a:p>
        </xdr:txBody>
      </xdr:sp>
    </xdr:grpSp>
    <xdr:clientData/>
  </xdr:twoCellAnchor>
  <xdr:twoCellAnchor>
    <xdr:from>
      <xdr:col>6</xdr:col>
      <xdr:colOff>314325</xdr:colOff>
      <xdr:row>26</xdr:row>
      <xdr:rowOff>0</xdr:rowOff>
    </xdr:from>
    <xdr:to>
      <xdr:col>9</xdr:col>
      <xdr:colOff>85725</xdr:colOff>
      <xdr:row>28</xdr:row>
      <xdr:rowOff>152400</xdr:rowOff>
    </xdr:to>
    <xdr:grpSp>
      <xdr:nvGrpSpPr>
        <xdr:cNvPr id="1839" name="Group 101">
          <a:extLst>
            <a:ext uri="{FF2B5EF4-FFF2-40B4-BE49-F238E27FC236}">
              <a16:creationId xmlns:a16="http://schemas.microsoft.com/office/drawing/2014/main" id="{00000000-0008-0000-0000-00002F070000}"/>
            </a:ext>
          </a:extLst>
        </xdr:cNvPr>
        <xdr:cNvGrpSpPr>
          <a:grpSpLocks/>
        </xdr:cNvGrpSpPr>
      </xdr:nvGrpSpPr>
      <xdr:grpSpPr bwMode="auto">
        <a:xfrm>
          <a:off x="3347085" y="4191000"/>
          <a:ext cx="1661160" cy="487680"/>
          <a:chOff x="466" y="365"/>
          <a:chExt cx="169" cy="52"/>
        </a:xfrm>
      </xdr:grpSpPr>
      <xdr:sp macro="" textlink="">
        <xdr:nvSpPr>
          <xdr:cNvPr id="1853" name="Rectangle 98">
            <a:extLst>
              <a:ext uri="{FF2B5EF4-FFF2-40B4-BE49-F238E27FC236}">
                <a16:creationId xmlns:a16="http://schemas.microsoft.com/office/drawing/2014/main" id="{00000000-0008-0000-0000-00003D070000}"/>
              </a:ext>
            </a:extLst>
          </xdr:cNvPr>
          <xdr:cNvSpPr>
            <a:spLocks noChangeArrowheads="1"/>
          </xdr:cNvSpPr>
        </xdr:nvSpPr>
        <xdr:spPr bwMode="auto">
          <a:xfrm>
            <a:off x="466" y="365"/>
            <a:ext cx="169" cy="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472" y="372"/>
            <a:ext cx="156"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5a: Select phase </a:t>
            </a:r>
          </a:p>
          <a:p>
            <a:pPr algn="ctr" rtl="0">
              <a:defRPr sz="1000"/>
            </a:pPr>
            <a:r>
              <a:rPr lang="en-US" sz="1000" b="1" i="0" u="none" strike="noStrike" baseline="0">
                <a:solidFill>
                  <a:srgbClr val="000000"/>
                </a:solidFill>
                <a:latin typeface="Arial"/>
                <a:cs typeface="Arial"/>
              </a:rPr>
              <a:t>conductor size size.</a:t>
            </a:r>
          </a:p>
        </xdr:txBody>
      </xdr:sp>
    </xdr:grpSp>
    <xdr:clientData/>
  </xdr:twoCellAnchor>
  <xdr:twoCellAnchor>
    <xdr:from>
      <xdr:col>7</xdr:col>
      <xdr:colOff>466725</xdr:colOff>
      <xdr:row>20</xdr:row>
      <xdr:rowOff>161925</xdr:rowOff>
    </xdr:from>
    <xdr:to>
      <xdr:col>10</xdr:col>
      <xdr:colOff>514350</xdr:colOff>
      <xdr:row>23</xdr:row>
      <xdr:rowOff>152400</xdr:rowOff>
    </xdr:to>
    <xdr:sp macro="" textlink="">
      <xdr:nvSpPr>
        <xdr:cNvPr id="1840" name="Line 102">
          <a:extLst>
            <a:ext uri="{FF2B5EF4-FFF2-40B4-BE49-F238E27FC236}">
              <a16:creationId xmlns:a16="http://schemas.microsoft.com/office/drawing/2014/main" id="{00000000-0008-0000-0000-000030070000}"/>
            </a:ext>
          </a:extLst>
        </xdr:cNvPr>
        <xdr:cNvSpPr>
          <a:spLocks noChangeShapeType="1"/>
        </xdr:cNvSpPr>
      </xdr:nvSpPr>
      <xdr:spPr bwMode="auto">
        <a:xfrm flipV="1">
          <a:off x="4019550" y="3429000"/>
          <a:ext cx="188595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23</xdr:row>
      <xdr:rowOff>152400</xdr:rowOff>
    </xdr:from>
    <xdr:to>
      <xdr:col>7</xdr:col>
      <xdr:colOff>457200</xdr:colOff>
      <xdr:row>26</xdr:row>
      <xdr:rowOff>0</xdr:rowOff>
    </xdr:to>
    <xdr:sp macro="" textlink="">
      <xdr:nvSpPr>
        <xdr:cNvPr id="1841" name="Line 103">
          <a:extLst>
            <a:ext uri="{FF2B5EF4-FFF2-40B4-BE49-F238E27FC236}">
              <a16:creationId xmlns:a16="http://schemas.microsoft.com/office/drawing/2014/main" id="{00000000-0008-0000-0000-000031070000}"/>
            </a:ext>
          </a:extLst>
        </xdr:cNvPr>
        <xdr:cNvSpPr>
          <a:spLocks noChangeShapeType="1"/>
        </xdr:cNvSpPr>
      </xdr:nvSpPr>
      <xdr:spPr bwMode="auto">
        <a:xfrm>
          <a:off x="4010025" y="3933825"/>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24</xdr:row>
      <xdr:rowOff>47625</xdr:rowOff>
    </xdr:from>
    <xdr:to>
      <xdr:col>10</xdr:col>
      <xdr:colOff>542925</xdr:colOff>
      <xdr:row>27</xdr:row>
      <xdr:rowOff>76200</xdr:rowOff>
    </xdr:to>
    <xdr:sp macro="" textlink="">
      <xdr:nvSpPr>
        <xdr:cNvPr id="1842" name="Line 104">
          <a:extLst>
            <a:ext uri="{FF2B5EF4-FFF2-40B4-BE49-F238E27FC236}">
              <a16:creationId xmlns:a16="http://schemas.microsoft.com/office/drawing/2014/main" id="{00000000-0008-0000-0000-000032070000}"/>
            </a:ext>
          </a:extLst>
        </xdr:cNvPr>
        <xdr:cNvSpPr>
          <a:spLocks noChangeShapeType="1"/>
        </xdr:cNvSpPr>
      </xdr:nvSpPr>
      <xdr:spPr bwMode="auto">
        <a:xfrm flipV="1">
          <a:off x="5486400" y="4000500"/>
          <a:ext cx="447675" cy="542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29</xdr:row>
      <xdr:rowOff>76200</xdr:rowOff>
    </xdr:from>
    <xdr:to>
      <xdr:col>7</xdr:col>
      <xdr:colOff>314325</xdr:colOff>
      <xdr:row>33</xdr:row>
      <xdr:rowOff>114300</xdr:rowOff>
    </xdr:to>
    <xdr:sp macro="" textlink="">
      <xdr:nvSpPr>
        <xdr:cNvPr id="1843" name="Rectangle 107">
          <a:extLst>
            <a:ext uri="{FF2B5EF4-FFF2-40B4-BE49-F238E27FC236}">
              <a16:creationId xmlns:a16="http://schemas.microsoft.com/office/drawing/2014/main" id="{00000000-0008-0000-0000-000033070000}"/>
            </a:ext>
          </a:extLst>
        </xdr:cNvPr>
        <xdr:cNvSpPr>
          <a:spLocks noChangeArrowheads="1"/>
        </xdr:cNvSpPr>
      </xdr:nvSpPr>
      <xdr:spPr bwMode="auto">
        <a:xfrm>
          <a:off x="1962150" y="4886325"/>
          <a:ext cx="1905000" cy="723900"/>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FF6600" mc:Ignorable="a14" a14:legacySpreadsheetColorIndex="53"/>
          </a:solidFill>
          <a:miter lim="800000"/>
          <a:headEnd/>
          <a:tailEnd/>
        </a:ln>
        <a:effectLst>
          <a:outerShdw dist="107763" dir="2700000" algn="ctr" rotWithShape="0">
            <a:srgbClr val="808080"/>
          </a:outerShdw>
        </a:effectLst>
      </xdr:spPr>
    </xdr:sp>
    <xdr:clientData/>
  </xdr:twoCellAnchor>
  <xdr:twoCellAnchor>
    <xdr:from>
      <xdr:col>4</xdr:col>
      <xdr:colOff>257175</xdr:colOff>
      <xdr:row>29</xdr:row>
      <xdr:rowOff>152400</xdr:rowOff>
    </xdr:from>
    <xdr:to>
      <xdr:col>7</xdr:col>
      <xdr:colOff>171450</xdr:colOff>
      <xdr:row>33</xdr:row>
      <xdr:rowOff>47625</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2066925" y="4962525"/>
          <a:ext cx="16573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6600" mc:Ignorable="a14" a14:legacySpreadsheetColorIndex="53"/>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Finished product</a:t>
          </a: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p>
        <a:p>
          <a:pPr algn="ctr" rtl="0">
            <a:defRPr sz="1000"/>
          </a:pPr>
          <a:r>
            <a:rPr lang="en-US" sz="1100" b="1" i="0" u="none" strike="noStrike" baseline="0">
              <a:solidFill>
                <a:srgbClr val="000000"/>
              </a:solidFill>
              <a:latin typeface="Arial"/>
              <a:cs typeface="Arial"/>
            </a:rPr>
            <a:t>CALCULATED FAULT CURRENT</a:t>
          </a:r>
        </a:p>
      </xdr:txBody>
    </xdr:sp>
    <xdr:clientData/>
  </xdr:twoCellAnchor>
  <xdr:twoCellAnchor>
    <xdr:from>
      <xdr:col>0</xdr:col>
      <xdr:colOff>123825</xdr:colOff>
      <xdr:row>1</xdr:row>
      <xdr:rowOff>114300</xdr:rowOff>
    </xdr:from>
    <xdr:to>
      <xdr:col>4</xdr:col>
      <xdr:colOff>390525</xdr:colOff>
      <xdr:row>6</xdr:row>
      <xdr:rowOff>66675</xdr:rowOff>
    </xdr:to>
    <xdr:sp macro="" textlink="">
      <xdr:nvSpPr>
        <xdr:cNvPr id="1845" name="Rectangle 109">
          <a:extLst>
            <a:ext uri="{FF2B5EF4-FFF2-40B4-BE49-F238E27FC236}">
              <a16:creationId xmlns:a16="http://schemas.microsoft.com/office/drawing/2014/main" id="{00000000-0008-0000-0000-000035070000}"/>
            </a:ext>
          </a:extLst>
        </xdr:cNvPr>
        <xdr:cNvSpPr>
          <a:spLocks noChangeArrowheads="1"/>
        </xdr:cNvSpPr>
      </xdr:nvSpPr>
      <xdr:spPr bwMode="auto">
        <a:xfrm>
          <a:off x="123825" y="200025"/>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95250</xdr:colOff>
      <xdr:row>2</xdr:row>
      <xdr:rowOff>38100</xdr:rowOff>
    </xdr:from>
    <xdr:to>
      <xdr:col>4</xdr:col>
      <xdr:colOff>209550</xdr:colOff>
      <xdr:row>5</xdr:row>
      <xdr:rowOff>257175</xdr:rowOff>
    </xdr:to>
    <xdr:sp macro="" textlink="">
      <xdr:nvSpPr>
        <xdr:cNvPr id="1134" name="Rectangle 110">
          <a:extLst>
            <a:ext uri="{FF2B5EF4-FFF2-40B4-BE49-F238E27FC236}">
              <a16:creationId xmlns:a16="http://schemas.microsoft.com/office/drawing/2014/main" id="{00000000-0008-0000-0000-00006E040000}"/>
            </a:ext>
          </a:extLst>
        </xdr:cNvPr>
        <xdr:cNvSpPr>
          <a:spLocks noChangeArrowheads="1"/>
        </xdr:cNvSpPr>
      </xdr:nvSpPr>
      <xdr:spPr bwMode="auto">
        <a:xfrm>
          <a:off x="285750" y="304800"/>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FF"/>
              </a:solidFill>
              <a:latin typeface="Arial"/>
              <a:cs typeface="Arial"/>
            </a:rPr>
            <a:t>Personalize by entering</a:t>
          </a:r>
        </a:p>
        <a:p>
          <a:pPr algn="ctr" rtl="0">
            <a:defRPr sz="1000"/>
          </a:pPr>
          <a:r>
            <a:rPr lang="en-US" sz="1000" b="1" i="0" u="none" strike="noStrike" baseline="0">
              <a:solidFill>
                <a:srgbClr val="0000FF"/>
              </a:solidFill>
              <a:latin typeface="Arial"/>
              <a:cs typeface="Arial"/>
            </a:rPr>
            <a:t>the 'Job Name' and </a:t>
          </a:r>
        </a:p>
        <a:p>
          <a:pPr algn="ctr" rtl="0">
            <a:defRPr sz="1000"/>
          </a:pPr>
          <a:r>
            <a:rPr lang="en-US" sz="1000" b="1" i="0" u="none" strike="noStrike" baseline="0">
              <a:solidFill>
                <a:srgbClr val="0000FF"/>
              </a:solidFill>
              <a:latin typeface="Arial"/>
              <a:cs typeface="Arial"/>
            </a:rPr>
            <a:t> 'Your Company Name'</a:t>
          </a:r>
        </a:p>
      </xdr:txBody>
    </xdr:sp>
    <xdr:clientData/>
  </xdr:twoCellAnchor>
  <xdr:twoCellAnchor>
    <xdr:from>
      <xdr:col>4</xdr:col>
      <xdr:colOff>390525</xdr:colOff>
      <xdr:row>1</xdr:row>
      <xdr:rowOff>76200</xdr:rowOff>
    </xdr:from>
    <xdr:to>
      <xdr:col>5</xdr:col>
      <xdr:colOff>257175</xdr:colOff>
      <xdr:row>3</xdr:row>
      <xdr:rowOff>47625</xdr:rowOff>
    </xdr:to>
    <xdr:sp macro="" textlink="">
      <xdr:nvSpPr>
        <xdr:cNvPr id="1847" name="Line 111">
          <a:extLst>
            <a:ext uri="{FF2B5EF4-FFF2-40B4-BE49-F238E27FC236}">
              <a16:creationId xmlns:a16="http://schemas.microsoft.com/office/drawing/2014/main" id="{00000000-0008-0000-0000-000037070000}"/>
            </a:ext>
          </a:extLst>
        </xdr:cNvPr>
        <xdr:cNvSpPr>
          <a:spLocks noChangeShapeType="1"/>
        </xdr:cNvSpPr>
      </xdr:nvSpPr>
      <xdr:spPr bwMode="auto">
        <a:xfrm flipV="1">
          <a:off x="2200275" y="161925"/>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66675</xdr:rowOff>
    </xdr:from>
    <xdr:to>
      <xdr:col>5</xdr:col>
      <xdr:colOff>266700</xdr:colOff>
      <xdr:row>5</xdr:row>
      <xdr:rowOff>38100</xdr:rowOff>
    </xdr:to>
    <xdr:sp macro="" textlink="">
      <xdr:nvSpPr>
        <xdr:cNvPr id="1848" name="Line 112">
          <a:extLst>
            <a:ext uri="{FF2B5EF4-FFF2-40B4-BE49-F238E27FC236}">
              <a16:creationId xmlns:a16="http://schemas.microsoft.com/office/drawing/2014/main" id="{00000000-0008-0000-0000-000038070000}"/>
            </a:ext>
          </a:extLst>
        </xdr:cNvPr>
        <xdr:cNvSpPr>
          <a:spLocks noChangeShapeType="1"/>
        </xdr:cNvSpPr>
      </xdr:nvSpPr>
      <xdr:spPr bwMode="auto">
        <a:xfrm flipV="1">
          <a:off x="2209800" y="400050"/>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457200</xdr:colOff>
      <xdr:row>39</xdr:row>
      <xdr:rowOff>114300</xdr:rowOff>
    </xdr:from>
    <xdr:to>
      <xdr:col>5</xdr:col>
      <xdr:colOff>390525</xdr:colOff>
      <xdr:row>42</xdr:row>
      <xdr:rowOff>133350</xdr:rowOff>
    </xdr:to>
    <xdr:sp macro="" textlink="">
      <xdr:nvSpPr>
        <xdr:cNvPr id="1849" name="Rectangle 113">
          <a:extLst>
            <a:ext uri="{FF2B5EF4-FFF2-40B4-BE49-F238E27FC236}">
              <a16:creationId xmlns:a16="http://schemas.microsoft.com/office/drawing/2014/main" id="{00000000-0008-0000-0000-000039070000}"/>
            </a:ext>
          </a:extLst>
        </xdr:cNvPr>
        <xdr:cNvSpPr>
          <a:spLocks noChangeArrowheads="1"/>
        </xdr:cNvSpPr>
      </xdr:nvSpPr>
      <xdr:spPr bwMode="auto">
        <a:xfrm>
          <a:off x="647700" y="66579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552450</xdr:colOff>
      <xdr:row>40</xdr:row>
      <xdr:rowOff>38100</xdr:rowOff>
    </xdr:from>
    <xdr:to>
      <xdr:col>5</xdr:col>
      <xdr:colOff>314325</xdr:colOff>
      <xdr:row>42</xdr:row>
      <xdr:rowOff>47625</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742950" y="67532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Continue by entering next point to point</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3</xdr:col>
      <xdr:colOff>314325</xdr:colOff>
      <xdr:row>37</xdr:row>
      <xdr:rowOff>9525</xdr:rowOff>
    </xdr:from>
    <xdr:to>
      <xdr:col>4</xdr:col>
      <xdr:colOff>333375</xdr:colOff>
      <xdr:row>39</xdr:row>
      <xdr:rowOff>114300</xdr:rowOff>
    </xdr:to>
    <xdr:sp macro="" textlink="">
      <xdr:nvSpPr>
        <xdr:cNvPr id="1851" name="Line 115">
          <a:extLst>
            <a:ext uri="{FF2B5EF4-FFF2-40B4-BE49-F238E27FC236}">
              <a16:creationId xmlns:a16="http://schemas.microsoft.com/office/drawing/2014/main" id="{00000000-0008-0000-0000-00003B070000}"/>
            </a:ext>
          </a:extLst>
        </xdr:cNvPr>
        <xdr:cNvSpPr>
          <a:spLocks noChangeShapeType="1"/>
        </xdr:cNvSpPr>
      </xdr:nvSpPr>
      <xdr:spPr bwMode="auto">
        <a:xfrm flipV="1">
          <a:off x="1800225" y="6210300"/>
          <a:ext cx="342900" cy="4476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10</xdr:row>
      <xdr:rowOff>104775</xdr:rowOff>
    </xdr:from>
    <xdr:to>
      <xdr:col>7</xdr:col>
      <xdr:colOff>590550</xdr:colOff>
      <xdr:row>12</xdr:row>
      <xdr:rowOff>76200</xdr:rowOff>
    </xdr:to>
    <xdr:sp macro="" textlink="">
      <xdr:nvSpPr>
        <xdr:cNvPr id="1852" name="Line 116">
          <a:extLst>
            <a:ext uri="{FF2B5EF4-FFF2-40B4-BE49-F238E27FC236}">
              <a16:creationId xmlns:a16="http://schemas.microsoft.com/office/drawing/2014/main" id="{00000000-0008-0000-0000-00003C070000}"/>
            </a:ext>
          </a:extLst>
        </xdr:cNvPr>
        <xdr:cNvSpPr>
          <a:spLocks noChangeShapeType="1"/>
        </xdr:cNvSpPr>
      </xdr:nvSpPr>
      <xdr:spPr bwMode="auto">
        <a:xfrm>
          <a:off x="3905250" y="1666875"/>
          <a:ext cx="238125"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541020</xdr:colOff>
          <xdr:row>19</xdr:row>
          <xdr:rowOff>144780</xdr:rowOff>
        </xdr:from>
        <xdr:to>
          <xdr:col>11</xdr:col>
          <xdr:colOff>670560</xdr:colOff>
          <xdr:row>21</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40</xdr:row>
          <xdr:rowOff>160020</xdr:rowOff>
        </xdr:from>
        <xdr:to>
          <xdr:col>11</xdr:col>
          <xdr:colOff>670560</xdr:colOff>
          <xdr:row>42</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160020</xdr:rowOff>
        </xdr:from>
        <xdr:to>
          <xdr:col>11</xdr:col>
          <xdr:colOff>655320</xdr:colOff>
          <xdr:row>18</xdr:row>
          <xdr:rowOff>22860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35</xdr:row>
          <xdr:rowOff>152400</xdr:rowOff>
        </xdr:from>
        <xdr:to>
          <xdr:col>11</xdr:col>
          <xdr:colOff>670560</xdr:colOff>
          <xdr:row>37</xdr:row>
          <xdr:rowOff>7620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99060</xdr:rowOff>
        </xdr:from>
        <xdr:to>
          <xdr:col>11</xdr:col>
          <xdr:colOff>655320</xdr:colOff>
          <xdr:row>16</xdr:row>
          <xdr:rowOff>121920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22</xdr:row>
          <xdr:rowOff>160020</xdr:rowOff>
        </xdr:from>
        <xdr:to>
          <xdr:col>11</xdr:col>
          <xdr:colOff>670560</xdr:colOff>
          <xdr:row>24</xdr:row>
          <xdr:rowOff>22860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43</xdr:row>
          <xdr:rowOff>144780</xdr:rowOff>
        </xdr:from>
        <xdr:to>
          <xdr:col>11</xdr:col>
          <xdr:colOff>670560</xdr:colOff>
          <xdr:row>45</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37</xdr:row>
          <xdr:rowOff>22860</xdr:rowOff>
        </xdr:from>
        <xdr:to>
          <xdr:col>11</xdr:col>
          <xdr:colOff>670560</xdr:colOff>
          <xdr:row>38</xdr:row>
          <xdr:rowOff>45720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63</xdr:row>
          <xdr:rowOff>160020</xdr:rowOff>
        </xdr:from>
        <xdr:to>
          <xdr:col>11</xdr:col>
          <xdr:colOff>678180</xdr:colOff>
          <xdr:row>65</xdr:row>
          <xdr:rowOff>7620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58</xdr:row>
          <xdr:rowOff>152400</xdr:rowOff>
        </xdr:from>
        <xdr:to>
          <xdr:col>11</xdr:col>
          <xdr:colOff>678180</xdr:colOff>
          <xdr:row>60</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66</xdr:row>
          <xdr:rowOff>144780</xdr:rowOff>
        </xdr:from>
        <xdr:to>
          <xdr:col>11</xdr:col>
          <xdr:colOff>678180</xdr:colOff>
          <xdr:row>67</xdr:row>
          <xdr:rowOff>175260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60</xdr:row>
          <xdr:rowOff>83820</xdr:rowOff>
        </xdr:from>
        <xdr:to>
          <xdr:col>11</xdr:col>
          <xdr:colOff>678180</xdr:colOff>
          <xdr:row>61</xdr:row>
          <xdr:rowOff>106680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7</xdr:col>
      <xdr:colOff>438150</xdr:colOff>
      <xdr:row>31</xdr:row>
      <xdr:rowOff>66675</xdr:rowOff>
    </xdr:from>
    <xdr:to>
      <xdr:col>8</xdr:col>
      <xdr:colOff>552450</xdr:colOff>
      <xdr:row>31</xdr:row>
      <xdr:rowOff>66675</xdr:rowOff>
    </xdr:to>
    <xdr:sp macro="" textlink="">
      <xdr:nvSpPr>
        <xdr:cNvPr id="2248" name="Line 45">
          <a:extLst>
            <a:ext uri="{FF2B5EF4-FFF2-40B4-BE49-F238E27FC236}">
              <a16:creationId xmlns:a16="http://schemas.microsoft.com/office/drawing/2014/main" id="{00000000-0008-0000-0100-0000C8080000}"/>
            </a:ext>
          </a:extLst>
        </xdr:cNvPr>
        <xdr:cNvSpPr>
          <a:spLocks noChangeShapeType="1"/>
        </xdr:cNvSpPr>
      </xdr:nvSpPr>
      <xdr:spPr bwMode="auto">
        <a:xfrm>
          <a:off x="3990975" y="5229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32</xdr:row>
      <xdr:rowOff>66675</xdr:rowOff>
    </xdr:from>
    <xdr:to>
      <xdr:col>8</xdr:col>
      <xdr:colOff>552450</xdr:colOff>
      <xdr:row>32</xdr:row>
      <xdr:rowOff>66675</xdr:rowOff>
    </xdr:to>
    <xdr:sp macro="" textlink="">
      <xdr:nvSpPr>
        <xdr:cNvPr id="2249" name="Line 46">
          <a:extLst>
            <a:ext uri="{FF2B5EF4-FFF2-40B4-BE49-F238E27FC236}">
              <a16:creationId xmlns:a16="http://schemas.microsoft.com/office/drawing/2014/main" id="{00000000-0008-0000-0100-0000C9080000}"/>
            </a:ext>
          </a:extLst>
        </xdr:cNvPr>
        <xdr:cNvSpPr>
          <a:spLocks noChangeShapeType="1"/>
        </xdr:cNvSpPr>
      </xdr:nvSpPr>
      <xdr:spPr bwMode="auto">
        <a:xfrm>
          <a:off x="3990975" y="540067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601980</xdr:colOff>
          <xdr:row>17</xdr:row>
          <xdr:rowOff>7620</xdr:rowOff>
        </xdr:from>
        <xdr:to>
          <xdr:col>7</xdr:col>
          <xdr:colOff>99060</xdr:colOff>
          <xdr:row>18</xdr:row>
          <xdr:rowOff>38100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trlProp" Target="../ctrlProps/ctrlProp3.xml"/><Relationship Id="rId5" Type="http://schemas.openxmlformats.org/officeDocument/2006/relationships/printerSettings" Target="../printerSettings/printerSettings5.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printerSettings" Target="../printerSettings/printerSettings4.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printerSettings" Target="../printerSettings/printerSettings9.bin"/><Relationship Id="rId21" Type="http://schemas.openxmlformats.org/officeDocument/2006/relationships/ctrlProp" Target="../ctrlProps/ctrlProp24.xml"/><Relationship Id="rId7" Type="http://schemas.openxmlformats.org/officeDocument/2006/relationships/printerSettings" Target="../printerSettings/printerSettings12.bin"/><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8.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hyperlink" Target="mailto:jmp1jds@comcast.net" TargetMode="External"/><Relationship Id="rId11" Type="http://schemas.openxmlformats.org/officeDocument/2006/relationships/ctrlProp" Target="../ctrlProps/ctrlProp14.xml"/><Relationship Id="rId5" Type="http://schemas.openxmlformats.org/officeDocument/2006/relationships/printerSettings" Target="../printerSettings/printerSettings11.bin"/><Relationship Id="rId15" Type="http://schemas.openxmlformats.org/officeDocument/2006/relationships/ctrlProp" Target="../ctrlProps/ctrlProp18.xml"/><Relationship Id="rId23"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vmlDrawing" Target="../drawings/vmlDrawing2.v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3"/>
  <sheetViews>
    <sheetView showRuler="0" workbookViewId="0">
      <selection activeCell="J21" sqref="J21:K21"/>
    </sheetView>
  </sheetViews>
  <sheetFormatPr defaultColWidth="0" defaultRowHeight="13.2" zeroHeight="1"/>
  <cols>
    <col min="1" max="1" width="2.88671875" customWidth="1"/>
    <col min="2" max="2" width="9.88671875" customWidth="1"/>
    <col min="3" max="3" width="9.5546875" customWidth="1"/>
    <col min="4" max="4" width="4.88671875" customWidth="1"/>
    <col min="5" max="5" width="7.88671875" customWidth="1"/>
    <col min="6" max="8" width="9.109375" customWidth="1"/>
    <col min="9" max="9" width="9.33203125" customWidth="1"/>
    <col min="10" max="11" width="9.109375" customWidth="1"/>
    <col min="12" max="12" width="11.44140625" customWidth="1"/>
    <col min="13" max="13" width="2.88671875" customWidth="1"/>
    <col min="14" max="14" width="1.6640625" hidden="1" customWidth="1"/>
    <col min="15" max="15" width="3" hidden="1" customWidth="1"/>
    <col min="16" max="16" width="9.6640625" hidden="1" customWidth="1"/>
    <col min="17" max="17" width="8" hidden="1" customWidth="1"/>
    <col min="18" max="18" width="8.33203125" hidden="1" customWidth="1"/>
    <col min="19" max="19" width="7.33203125" hidden="1" customWidth="1"/>
    <col min="20" max="20" width="0" hidden="1" customWidth="1"/>
    <col min="21" max="21" width="3" hidden="1" customWidth="1"/>
    <col min="22" max="22" width="5.5546875" hidden="1" customWidth="1"/>
    <col min="23" max="23" width="7.44140625" hidden="1" customWidth="1"/>
    <col min="24" max="24" width="8" hidden="1" customWidth="1"/>
    <col min="25" max="25" width="9" hidden="1" customWidth="1"/>
    <col min="26" max="26" width="0" hidden="1" customWidth="1"/>
    <col min="27" max="27" width="4.44140625" hidden="1" customWidth="1"/>
    <col min="28" max="28" width="5.33203125" hidden="1" customWidth="1"/>
    <col min="29" max="29" width="15.44140625" hidden="1" customWidth="1"/>
    <col min="30" max="30" width="4.109375" hidden="1" customWidth="1"/>
    <col min="31" max="38" width="0" hidden="1" customWidth="1"/>
    <col min="39" max="39" width="8.5546875" hidden="1" customWidth="1"/>
    <col min="40" max="130" width="0" hidden="1" customWidth="1"/>
    <col min="131" max="138" width="9.109375" style="2" customWidth="1"/>
    <col min="139" max="156" width="9.109375" hidden="1" customWidth="1"/>
    <col min="157" max="158" width="9.109375" customWidth="1"/>
    <col min="159" max="240" width="9.109375" hidden="1" customWidth="1"/>
    <col min="241" max="242" width="9.109375" style="2" hidden="1" customWidth="1"/>
    <col min="243" max="243" width="9.109375" hidden="1" customWidth="1"/>
    <col min="244" max="246" width="9.109375" style="19" hidden="1" customWidth="1"/>
    <col min="247" max="16384" width="9.109375" hidden="1"/>
  </cols>
  <sheetData>
    <row r="1" spans="1:256" ht="6.75" customHeight="1">
      <c r="A1" s="1"/>
      <c r="B1" s="1"/>
      <c r="C1" s="1"/>
      <c r="D1" s="1"/>
      <c r="E1" s="1"/>
      <c r="F1" s="1"/>
      <c r="G1" s="1"/>
      <c r="H1" s="1"/>
      <c r="I1" s="1"/>
      <c r="J1" s="1"/>
      <c r="K1" s="1"/>
      <c r="L1" s="1"/>
      <c r="M1" s="1"/>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159" t="s">
        <v>110</v>
      </c>
      <c r="D2" s="160"/>
      <c r="E2" s="160"/>
      <c r="F2" s="160"/>
      <c r="G2" s="142"/>
      <c r="H2" s="160"/>
      <c r="I2" s="160"/>
      <c r="J2" s="160"/>
      <c r="K2" s="161"/>
      <c r="L2" s="1"/>
      <c r="M2" s="1"/>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159" t="s">
        <v>0</v>
      </c>
      <c r="D4" s="160"/>
      <c r="E4" s="160"/>
      <c r="F4" s="160"/>
      <c r="G4" s="162"/>
      <c r="H4" s="160"/>
      <c r="I4" s="160"/>
      <c r="J4" s="160"/>
      <c r="K4" s="161"/>
      <c r="L4" s="1"/>
      <c r="M4" s="1"/>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2.8">
      <c r="A6" s="5"/>
      <c r="B6" s="163" t="s">
        <v>1</v>
      </c>
      <c r="C6" s="164"/>
      <c r="D6" s="164"/>
      <c r="E6" s="164"/>
      <c r="F6" s="164"/>
      <c r="G6" s="164"/>
      <c r="H6" s="164"/>
      <c r="I6" s="164"/>
      <c r="J6" s="164"/>
      <c r="K6" s="164"/>
      <c r="L6" s="165"/>
      <c r="M6" s="1"/>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4</v>
      </c>
      <c r="M7" s="1"/>
      <c r="O7" s="11"/>
      <c r="P7" s="12" t="s">
        <v>5</v>
      </c>
      <c r="Q7" s="12"/>
      <c r="R7" s="12"/>
      <c r="S7" s="13"/>
      <c r="U7" s="11"/>
      <c r="V7" s="12" t="s">
        <v>5</v>
      </c>
      <c r="W7" s="12"/>
      <c r="X7" s="12"/>
      <c r="Y7" s="13"/>
      <c r="AA7" s="14" t="s">
        <v>6</v>
      </c>
      <c r="AB7" s="15"/>
      <c r="AC7" s="16"/>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94" t="s">
        <v>7</v>
      </c>
      <c r="C8" s="95"/>
      <c r="D8" s="18"/>
      <c r="E8" s="19"/>
      <c r="F8" s="20">
        <v>0</v>
      </c>
      <c r="G8" s="80" t="s">
        <v>8</v>
      </c>
      <c r="H8" s="96" t="s">
        <v>9</v>
      </c>
      <c r="I8" s="21">
        <v>300</v>
      </c>
      <c r="J8" s="18"/>
      <c r="K8" s="18"/>
      <c r="L8" s="22"/>
      <c r="M8" s="1"/>
      <c r="O8" s="11"/>
      <c r="P8" s="12" t="s">
        <v>10</v>
      </c>
      <c r="Q8" s="23"/>
      <c r="R8" s="23"/>
      <c r="S8" s="11"/>
      <c r="U8" s="11"/>
      <c r="V8" s="12" t="s">
        <v>11</v>
      </c>
      <c r="W8" s="23"/>
      <c r="X8" s="23"/>
      <c r="Y8" s="11"/>
      <c r="AA8" s="24" t="s">
        <v>12</v>
      </c>
      <c r="AB8" s="19"/>
      <c r="AC8" s="25"/>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6"/>
      <c r="C9" s="18"/>
      <c r="D9" s="18"/>
      <c r="E9" s="18"/>
      <c r="F9" s="18"/>
      <c r="G9" s="18"/>
      <c r="H9" s="80" t="s">
        <v>13</v>
      </c>
      <c r="I9" s="27">
        <f>V34</f>
        <v>0</v>
      </c>
      <c r="J9" s="18"/>
      <c r="K9" s="18"/>
      <c r="L9" s="22"/>
      <c r="M9" s="1"/>
      <c r="O9" s="28"/>
      <c r="P9" s="13" t="s">
        <v>14</v>
      </c>
      <c r="Q9" s="29" t="s">
        <v>15</v>
      </c>
      <c r="R9" s="13" t="s">
        <v>16</v>
      </c>
      <c r="S9" s="11"/>
      <c r="U9" s="28"/>
      <c r="V9" s="13" t="s">
        <v>14</v>
      </c>
      <c r="W9" s="29" t="s">
        <v>15</v>
      </c>
      <c r="X9" s="30" t="s">
        <v>16</v>
      </c>
      <c r="Y9" s="11"/>
      <c r="AA9" s="24" t="s">
        <v>17</v>
      </c>
      <c r="AB9" s="19"/>
      <c r="AC9" s="25"/>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81" t="s">
        <v>96</v>
      </c>
      <c r="C10" s="82"/>
      <c r="D10" s="82"/>
      <c r="E10" s="83"/>
      <c r="F10" s="82"/>
      <c r="G10" s="82" t="s">
        <v>19</v>
      </c>
      <c r="H10" s="82"/>
      <c r="I10" s="33">
        <f>V37</f>
        <v>0</v>
      </c>
      <c r="J10" s="18"/>
      <c r="K10" s="18"/>
      <c r="L10" s="22"/>
      <c r="M10" s="1"/>
      <c r="O10" s="28" t="b">
        <v>0</v>
      </c>
      <c r="P10" s="34">
        <v>14</v>
      </c>
      <c r="Q10" s="35">
        <v>389.05934043857837</v>
      </c>
      <c r="R10" s="36">
        <v>236.95649710889242</v>
      </c>
      <c r="S10" s="28" t="e">
        <f>IF(J21,R10,Q10)</f>
        <v>#VALUE!</v>
      </c>
      <c r="T10" s="37">
        <f t="shared" ref="T10:T25" si="0">IF(O10,S10,0)</f>
        <v>0</v>
      </c>
      <c r="U10" s="28" t="b">
        <v>0</v>
      </c>
      <c r="V10" s="34">
        <v>14</v>
      </c>
      <c r="W10" s="36">
        <v>389.05934043857837</v>
      </c>
      <c r="X10" s="36">
        <v>236.95649710889242</v>
      </c>
      <c r="Y10" s="28" t="e">
        <f>IF(P21,X10,W10)</f>
        <v>#VALUE!</v>
      </c>
      <c r="AA10" s="24" t="s">
        <v>20</v>
      </c>
      <c r="AB10" s="19"/>
      <c r="AC10" s="25"/>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166">
        <f>V36</f>
        <v>0</v>
      </c>
      <c r="C11" s="167"/>
      <c r="D11" s="82"/>
      <c r="E11" s="83"/>
      <c r="F11" s="82" t="s">
        <v>2</v>
      </c>
      <c r="G11" s="83"/>
      <c r="H11" s="82"/>
      <c r="I11" s="18"/>
      <c r="J11" s="18"/>
      <c r="K11" s="18"/>
      <c r="L11" s="22"/>
      <c r="M11" s="1"/>
      <c r="O11" s="28" t="b">
        <v>0</v>
      </c>
      <c r="P11" s="34">
        <v>12</v>
      </c>
      <c r="Q11" s="36">
        <v>617.11951548808042</v>
      </c>
      <c r="R11" s="36">
        <v>375.90269576634142</v>
      </c>
      <c r="S11" s="38" t="e">
        <f>IF(J21,R11,Q11)</f>
        <v>#VALUE!</v>
      </c>
      <c r="T11" s="37">
        <f t="shared" si="0"/>
        <v>0</v>
      </c>
      <c r="U11" s="28" t="b">
        <v>0</v>
      </c>
      <c r="V11" s="34">
        <v>12</v>
      </c>
      <c r="W11" s="36">
        <v>617.11951548808042</v>
      </c>
      <c r="X11" s="36">
        <v>375.90269576634142</v>
      </c>
      <c r="Y11" s="38" t="e">
        <f>IF(P21,X11,W11)</f>
        <v>#VALUE!</v>
      </c>
      <c r="AA11" s="39" t="s">
        <v>21</v>
      </c>
      <c r="AB11" s="40"/>
      <c r="AC11" s="41"/>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84"/>
      <c r="C12" s="82"/>
      <c r="D12" s="82"/>
      <c r="E12" s="82"/>
      <c r="F12" s="82"/>
      <c r="G12" s="82"/>
      <c r="H12" s="82"/>
      <c r="I12" s="18"/>
      <c r="J12" s="18"/>
      <c r="K12" s="18"/>
      <c r="L12" s="22"/>
      <c r="M12" s="1"/>
      <c r="O12" s="28" t="b">
        <v>0</v>
      </c>
      <c r="P12" s="34">
        <v>10</v>
      </c>
      <c r="Q12" s="36">
        <v>981.66657949248315</v>
      </c>
      <c r="R12" s="36">
        <v>598.65468595959044</v>
      </c>
      <c r="S12" s="38" t="e">
        <f>IF(J21,R12,Q12)</f>
        <v>#VALUE!</v>
      </c>
      <c r="T12" s="37">
        <f t="shared" si="0"/>
        <v>0</v>
      </c>
      <c r="U12" s="28" t="b">
        <v>0</v>
      </c>
      <c r="V12" s="34">
        <v>10</v>
      </c>
      <c r="W12" s="36">
        <v>981.66657949248315</v>
      </c>
      <c r="X12" s="35">
        <v>598.65468595959044</v>
      </c>
      <c r="Y12" s="38" t="e">
        <f>IF(P21,X12,W12)</f>
        <v>#VALUE!</v>
      </c>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85" t="s">
        <v>97</v>
      </c>
      <c r="C13" s="83"/>
      <c r="D13" s="83"/>
      <c r="E13" s="168" t="s">
        <v>22</v>
      </c>
      <c r="F13" s="82"/>
      <c r="G13" s="82"/>
      <c r="H13" s="96" t="s">
        <v>129</v>
      </c>
      <c r="I13" s="108">
        <v>0.9</v>
      </c>
      <c r="J13" s="18"/>
      <c r="K13" s="18"/>
      <c r="L13" s="22"/>
      <c r="M13" s="1"/>
      <c r="O13" s="28" t="b">
        <v>0</v>
      </c>
      <c r="P13" s="34">
        <v>8</v>
      </c>
      <c r="Q13" s="36">
        <v>1558.7822320462208</v>
      </c>
      <c r="R13" s="36">
        <v>951.75787362636663</v>
      </c>
      <c r="S13" s="38" t="e">
        <f>IF(J21,R13,Q13)</f>
        <v>#VALUE!</v>
      </c>
      <c r="T13" s="37">
        <f t="shared" si="0"/>
        <v>0</v>
      </c>
      <c r="U13" s="28" t="b">
        <v>0</v>
      </c>
      <c r="V13" s="34">
        <v>8</v>
      </c>
      <c r="W13" s="36">
        <v>1558.7822320462208</v>
      </c>
      <c r="X13" s="35">
        <v>951.75787362636663</v>
      </c>
      <c r="Y13" s="38" t="e">
        <f>IF(P21,X13,W13)</f>
        <v>#VALUE!</v>
      </c>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85" t="s">
        <v>23</v>
      </c>
      <c r="C14" s="83"/>
      <c r="D14" s="83"/>
      <c r="E14" s="168"/>
      <c r="F14" s="82"/>
      <c r="G14" s="82"/>
      <c r="H14" s="96" t="s">
        <v>109</v>
      </c>
      <c r="I14" s="105">
        <v>0.03</v>
      </c>
      <c r="J14" s="32" t="s">
        <v>24</v>
      </c>
      <c r="K14" s="18"/>
      <c r="L14" s="22"/>
      <c r="M14" s="1"/>
      <c r="O14" s="28" t="b">
        <v>0</v>
      </c>
      <c r="P14" s="43" t="s">
        <v>25</v>
      </c>
      <c r="Q14" s="36">
        <v>2430.235844873087</v>
      </c>
      <c r="R14" s="36">
        <v>1481.6944868176849</v>
      </c>
      <c r="S14" s="38">
        <f>IF(18,R14,Q14)</f>
        <v>1481.6944868176849</v>
      </c>
      <c r="T14" s="37">
        <f t="shared" si="0"/>
        <v>0</v>
      </c>
      <c r="U14" s="28" t="b">
        <v>0</v>
      </c>
      <c r="V14" s="43" t="s">
        <v>25</v>
      </c>
      <c r="W14" s="36">
        <v>2425.2871306650477</v>
      </c>
      <c r="X14" s="35">
        <v>1480.5707698326703</v>
      </c>
      <c r="Y14" s="38">
        <f>IF(18,X14,W14)</f>
        <v>1480.5707698326703</v>
      </c>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86" t="s">
        <v>98</v>
      </c>
      <c r="C15" s="82"/>
      <c r="D15" s="82"/>
      <c r="E15" s="82"/>
      <c r="F15" s="87"/>
      <c r="G15" s="82" t="s">
        <v>99</v>
      </c>
      <c r="H15" s="82"/>
      <c r="I15" s="45">
        <f>IF(I14=0,0,I13*100/I14)</f>
        <v>3000</v>
      </c>
      <c r="J15" s="80" t="s">
        <v>27</v>
      </c>
      <c r="K15" s="18"/>
      <c r="L15" s="22"/>
      <c r="M15" s="1"/>
      <c r="O15" s="28" t="b">
        <v>0</v>
      </c>
      <c r="P15" s="34">
        <v>4</v>
      </c>
      <c r="Q15" s="36">
        <v>3823.6321798758745</v>
      </c>
      <c r="R15" s="36">
        <v>2349.8943710678423</v>
      </c>
      <c r="S15" s="38" t="e">
        <f>IF(J21,R15,Q15)</f>
        <v>#VALUE!</v>
      </c>
      <c r="T15" s="37">
        <f t="shared" si="0"/>
        <v>0</v>
      </c>
      <c r="U15" s="28" t="b">
        <v>0</v>
      </c>
      <c r="V15" s="34">
        <v>4</v>
      </c>
      <c r="W15" s="36">
        <v>3806.2231306417598</v>
      </c>
      <c r="X15" s="35">
        <v>2345.8361144358969</v>
      </c>
      <c r="Y15" s="38" t="e">
        <f>IF(P21,X15,W15)</f>
        <v>#VALUE!</v>
      </c>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84"/>
      <c r="C16" s="82"/>
      <c r="D16" s="82"/>
      <c r="E16" s="82"/>
      <c r="F16" s="82"/>
      <c r="G16" s="82"/>
      <c r="H16" s="82"/>
      <c r="I16" s="19"/>
      <c r="J16" s="18"/>
      <c r="K16" s="18"/>
      <c r="L16" s="22"/>
      <c r="M16" s="1"/>
      <c r="O16" s="28" t="b">
        <v>0</v>
      </c>
      <c r="P16" s="34">
        <v>3</v>
      </c>
      <c r="Q16" s="36">
        <v>4635.4907887745949</v>
      </c>
      <c r="R16" s="36">
        <v>2871.799002052775</v>
      </c>
      <c r="S16" s="38" t="e">
        <f>IF(J21,R16,Q16)</f>
        <v>#VALUE!</v>
      </c>
      <c r="T16" s="37">
        <f t="shared" si="0"/>
        <v>0</v>
      </c>
      <c r="U16" s="28" t="b">
        <v>0</v>
      </c>
      <c r="V16" s="34">
        <v>3</v>
      </c>
      <c r="W16" s="36">
        <v>4633.1288113297242</v>
      </c>
      <c r="X16" s="35">
        <v>2876.2446490780762</v>
      </c>
      <c r="Y16" s="38" t="e">
        <f>IF(P21,X16,W16)</f>
        <v>#VALUE!</v>
      </c>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88" t="s">
        <v>28</v>
      </c>
      <c r="C17" s="82"/>
      <c r="D17" s="82"/>
      <c r="E17" s="82"/>
      <c r="F17" s="82"/>
      <c r="G17" s="82"/>
      <c r="H17" s="82"/>
      <c r="I17" s="18"/>
      <c r="J17" s="18"/>
      <c r="K17" s="18"/>
      <c r="L17" s="22"/>
      <c r="M17" s="1"/>
      <c r="O17" s="28" t="b">
        <v>0</v>
      </c>
      <c r="P17" s="34">
        <v>2</v>
      </c>
      <c r="Q17" s="36">
        <v>6044.2040650502304</v>
      </c>
      <c r="R17" s="36">
        <v>3729.7608181376904</v>
      </c>
      <c r="S17" s="38" t="e">
        <f>IF(J21,R17,Q17)</f>
        <v>#VALUE!</v>
      </c>
      <c r="T17" s="37">
        <f t="shared" si="0"/>
        <v>0</v>
      </c>
      <c r="U17" s="28" t="b">
        <v>0</v>
      </c>
      <c r="V17" s="34">
        <v>2</v>
      </c>
      <c r="W17" s="36">
        <v>5906.9311245804556</v>
      </c>
      <c r="X17" s="35">
        <v>3713.3946065002592</v>
      </c>
      <c r="Y17" s="38" t="e">
        <f>IF(P21,X17,W17)</f>
        <v>#VALUE!</v>
      </c>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84"/>
      <c r="C18" s="82"/>
      <c r="D18" s="82"/>
      <c r="E18" s="82"/>
      <c r="F18" s="82" t="s">
        <v>29</v>
      </c>
      <c r="G18" s="82"/>
      <c r="H18" s="96" t="s">
        <v>30</v>
      </c>
      <c r="I18" s="21">
        <v>150</v>
      </c>
      <c r="J18" s="18"/>
      <c r="K18" s="18"/>
      <c r="L18" s="22"/>
      <c r="M18" s="1"/>
      <c r="O18" s="28" t="b">
        <v>0</v>
      </c>
      <c r="P18" s="34">
        <v>1</v>
      </c>
      <c r="Q18" s="36">
        <v>7493.0777203984289</v>
      </c>
      <c r="R18" s="36">
        <v>4678.2818105990318</v>
      </c>
      <c r="S18" s="38" t="e">
        <f>IF(J21,R18,Q18)</f>
        <v>#VALUE!</v>
      </c>
      <c r="T18" s="37">
        <f t="shared" si="0"/>
        <v>0</v>
      </c>
      <c r="U18" s="28" t="b">
        <v>0</v>
      </c>
      <c r="V18" s="34">
        <v>1</v>
      </c>
      <c r="W18" s="36">
        <v>7292.9819118533896</v>
      </c>
      <c r="X18" s="35">
        <v>4645.1728973722275</v>
      </c>
      <c r="Y18" s="38" t="e">
        <f>IF(P21,X18,W18)</f>
        <v>#VALUE!</v>
      </c>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157" t="s">
        <v>31</v>
      </c>
      <c r="C19" s="83" t="str">
        <f>V41</f>
        <v xml:space="preserve">        2 x L x I</v>
      </c>
      <c r="D19" s="83"/>
      <c r="E19" s="83"/>
      <c r="F19" s="82" t="s">
        <v>32</v>
      </c>
      <c r="G19" s="82"/>
      <c r="H19" s="82" t="s">
        <v>100</v>
      </c>
      <c r="I19" s="47">
        <f>IF(F8&gt;0,F8,I15)</f>
        <v>3000</v>
      </c>
      <c r="J19" s="18"/>
      <c r="K19" s="18"/>
      <c r="L19" s="22"/>
      <c r="M19" s="1"/>
      <c r="O19" s="28" t="b">
        <v>0</v>
      </c>
      <c r="P19" s="43" t="s">
        <v>34</v>
      </c>
      <c r="Q19" s="36">
        <v>9317.1278392089716</v>
      </c>
      <c r="R19" s="36">
        <v>5838.122477000773</v>
      </c>
      <c r="S19" s="38" t="e">
        <f>IF(J21,R19,Q19)</f>
        <v>#VALUE!</v>
      </c>
      <c r="T19" s="37">
        <f t="shared" si="0"/>
        <v>0</v>
      </c>
      <c r="U19" s="28" t="b">
        <v>0</v>
      </c>
      <c r="V19" s="43" t="s">
        <v>34</v>
      </c>
      <c r="W19" s="36">
        <v>8924.6983067607034</v>
      </c>
      <c r="X19" s="35">
        <v>5777.0769196430228</v>
      </c>
      <c r="Y19" s="38" t="e">
        <f>IF(P21,X19,W19)</f>
        <v>#VALUE!</v>
      </c>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158"/>
      <c r="C20" s="83" t="s">
        <v>101</v>
      </c>
      <c r="D20" s="83"/>
      <c r="E20" s="83"/>
      <c r="F20" s="89" t="s">
        <v>36</v>
      </c>
      <c r="G20" s="82"/>
      <c r="H20" s="96" t="s">
        <v>37</v>
      </c>
      <c r="I20" s="21">
        <v>1</v>
      </c>
      <c r="J20" s="49"/>
      <c r="K20" s="18"/>
      <c r="L20" s="22"/>
      <c r="M20" s="1"/>
      <c r="O20" s="28" t="b">
        <v>0</v>
      </c>
      <c r="P20" s="43" t="s">
        <v>38</v>
      </c>
      <c r="Q20" s="36">
        <v>11423.738111586732</v>
      </c>
      <c r="R20" s="36">
        <v>7301.3535258869551</v>
      </c>
      <c r="S20" s="38" t="e">
        <f>IF(J21,R20,Q20)</f>
        <v>#VALUE!</v>
      </c>
      <c r="T20" s="37">
        <f t="shared" si="0"/>
        <v>0</v>
      </c>
      <c r="U20" s="28" t="b">
        <v>0</v>
      </c>
      <c r="V20" s="43" t="s">
        <v>38</v>
      </c>
      <c r="W20" s="36">
        <v>10755.13817039183</v>
      </c>
      <c r="X20" s="35">
        <v>7186.6587434532321</v>
      </c>
      <c r="Y20" s="38" t="e">
        <f>IF(P21,X20,W20)</f>
        <v>#VALUE!</v>
      </c>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84"/>
      <c r="C21" s="82"/>
      <c r="D21" s="82"/>
      <c r="E21" s="151" t="s">
        <v>39</v>
      </c>
      <c r="F21" s="152"/>
      <c r="G21" s="151"/>
      <c r="H21" s="82" t="s">
        <v>40</v>
      </c>
      <c r="I21" s="50">
        <f>S38</f>
        <v>0</v>
      </c>
      <c r="J21" s="153" t="s">
        <v>41</v>
      </c>
      <c r="K21" s="154"/>
      <c r="L21" s="22"/>
      <c r="M21" s="1"/>
      <c r="O21" s="28" t="b">
        <v>0</v>
      </c>
      <c r="P21" s="43" t="s">
        <v>42</v>
      </c>
      <c r="Q21" s="36">
        <v>13923.188519527854</v>
      </c>
      <c r="R21" s="36">
        <v>9110.1283949548178</v>
      </c>
      <c r="S21" s="38" t="e">
        <f>IF(J21,R21,Q21)</f>
        <v>#VALUE!</v>
      </c>
      <c r="T21" s="37">
        <f t="shared" si="0"/>
        <v>0</v>
      </c>
      <c r="U21" s="28" t="b">
        <v>0</v>
      </c>
      <c r="V21" s="43" t="s">
        <v>42</v>
      </c>
      <c r="W21" s="36">
        <v>12843.501391351736</v>
      </c>
      <c r="X21" s="35">
        <v>8826.43131085606</v>
      </c>
      <c r="Y21" s="38" t="e">
        <f>IF(P21,X21,W21)</f>
        <v>#VALUE!</v>
      </c>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c r="A22" s="5"/>
      <c r="B22" s="84"/>
      <c r="C22" s="82"/>
      <c r="D22" s="82"/>
      <c r="E22" s="90"/>
      <c r="F22" s="151" t="s">
        <v>102</v>
      </c>
      <c r="G22" s="151"/>
      <c r="H22" s="82" t="s">
        <v>103</v>
      </c>
      <c r="I22" s="51">
        <f>V39</f>
        <v>0</v>
      </c>
      <c r="J22" s="80" t="s">
        <v>45</v>
      </c>
      <c r="L22" s="22"/>
      <c r="M22" s="1"/>
      <c r="O22" s="28" t="b">
        <v>0</v>
      </c>
      <c r="P22" s="43" t="s">
        <v>46</v>
      </c>
      <c r="Q22" s="36">
        <v>16673.221457441254</v>
      </c>
      <c r="R22" s="36">
        <v>11174.474827388922</v>
      </c>
      <c r="S22" s="38" t="e">
        <f>IF(J21,R22,Q22)</f>
        <v>#VALUE!</v>
      </c>
      <c r="T22" s="37">
        <f t="shared" si="0"/>
        <v>0</v>
      </c>
      <c r="U22" s="28" t="b">
        <v>0</v>
      </c>
      <c r="V22" s="43" t="s">
        <v>46</v>
      </c>
      <c r="W22" s="36">
        <v>15082.338662331369</v>
      </c>
      <c r="X22" s="35">
        <v>10740.989856504781</v>
      </c>
      <c r="Y22" s="38" t="e">
        <f>IF(P21,X22,W22)</f>
        <v>#VALUE!</v>
      </c>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84"/>
      <c r="C23" s="82"/>
      <c r="D23" s="82"/>
      <c r="E23" s="82"/>
      <c r="F23" s="82"/>
      <c r="G23" s="82"/>
      <c r="H23" s="82" t="s">
        <v>47</v>
      </c>
      <c r="I23" s="52">
        <f>IF(I21=0,0,(V35*I18*I19)/(I20*I21*I22))</f>
        <v>0</v>
      </c>
      <c r="J23" s="18"/>
      <c r="K23" s="18"/>
      <c r="L23" s="22"/>
      <c r="M23" s="1"/>
      <c r="O23" s="28" t="b">
        <v>0</v>
      </c>
      <c r="P23" s="34" t="s">
        <v>48</v>
      </c>
      <c r="Q23" s="36">
        <v>18593.592822160561</v>
      </c>
      <c r="R23" s="36">
        <v>12862.419894284096</v>
      </c>
      <c r="S23" s="38" t="e">
        <f>IF(J21,R23,Q23)</f>
        <v>#VALUE!</v>
      </c>
      <c r="T23" s="37">
        <f t="shared" si="0"/>
        <v>0</v>
      </c>
      <c r="U23" s="28" t="b">
        <v>0</v>
      </c>
      <c r="V23" s="34">
        <v>250</v>
      </c>
      <c r="W23" s="36">
        <v>16483.392077271208</v>
      </c>
      <c r="X23" s="35">
        <v>12122.458939602073</v>
      </c>
      <c r="Y23" s="38" t="e">
        <f>IF(P21,X23,W23)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84"/>
      <c r="C24" s="82"/>
      <c r="D24" s="82"/>
      <c r="E24" s="151" t="s">
        <v>49</v>
      </c>
      <c r="F24" s="152"/>
      <c r="G24" s="151"/>
      <c r="H24" s="82" t="s">
        <v>40</v>
      </c>
      <c r="I24" s="50">
        <f>T38</f>
        <v>0</v>
      </c>
      <c r="J24" s="153" t="s">
        <v>50</v>
      </c>
      <c r="K24" s="154"/>
      <c r="L24" s="22"/>
      <c r="M24" s="1"/>
      <c r="O24" s="28" t="b">
        <v>0</v>
      </c>
      <c r="P24" s="34" t="s">
        <v>51</v>
      </c>
      <c r="Q24" s="36">
        <v>20867.77910661223</v>
      </c>
      <c r="R24" s="36">
        <v>14922.713943512308</v>
      </c>
      <c r="S24" s="38" t="e">
        <f>IF(J21,R24,Q24)</f>
        <v>#VALUE!</v>
      </c>
      <c r="T24" s="37">
        <f t="shared" si="0"/>
        <v>0</v>
      </c>
      <c r="U24" s="28" t="b">
        <v>0</v>
      </c>
      <c r="V24" s="34">
        <v>300</v>
      </c>
      <c r="W24" s="36">
        <v>18176.591285604794</v>
      </c>
      <c r="X24" s="35">
        <v>13909.658873325201</v>
      </c>
      <c r="Y24" s="38" t="e">
        <f>IF(P21,X24,W24)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88" t="s">
        <v>52</v>
      </c>
      <c r="C25" s="82"/>
      <c r="D25" s="82"/>
      <c r="E25" s="82"/>
      <c r="F25" s="151" t="s">
        <v>104</v>
      </c>
      <c r="G25" s="151"/>
      <c r="H25" s="82" t="s">
        <v>105</v>
      </c>
      <c r="I25" s="51">
        <f>V38</f>
        <v>0</v>
      </c>
      <c r="J25" s="80" t="s">
        <v>45</v>
      </c>
      <c r="K25" s="18"/>
      <c r="L25" s="22"/>
      <c r="M25" s="1"/>
      <c r="O25" s="28" t="b">
        <v>0</v>
      </c>
      <c r="P25" s="34" t="s">
        <v>55</v>
      </c>
      <c r="Q25" s="36">
        <v>22736.552449728213</v>
      </c>
      <c r="R25" s="36">
        <v>16812.778802186389</v>
      </c>
      <c r="S25" s="38" t="e">
        <f>IF(J21,R25,Q25)</f>
        <v>#VALUE!</v>
      </c>
      <c r="T25" s="37">
        <f t="shared" si="0"/>
        <v>0</v>
      </c>
      <c r="U25" s="28" t="b">
        <v>0</v>
      </c>
      <c r="V25" s="34">
        <v>350</v>
      </c>
      <c r="W25" s="36">
        <v>19703.601554443703</v>
      </c>
      <c r="X25" s="35">
        <v>15484.088036520512</v>
      </c>
      <c r="Y25" s="38" t="e">
        <f>IF(P21,X25,W25)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84"/>
      <c r="C26" s="82"/>
      <c r="D26" s="82"/>
      <c r="E26" s="82"/>
      <c r="F26" s="82"/>
      <c r="G26" s="82"/>
      <c r="H26" s="82" t="s">
        <v>47</v>
      </c>
      <c r="I26" s="52">
        <f>IF(I24=0,0,(2*I18*I19)/(I20*I24*I25))</f>
        <v>0</v>
      </c>
      <c r="J26" s="18"/>
      <c r="K26" s="18"/>
      <c r="L26" s="22"/>
      <c r="M26" s="1"/>
      <c r="O26" s="28"/>
      <c r="P26" s="34" t="s">
        <v>56</v>
      </c>
      <c r="Q26" s="36">
        <v>24296.978546368195</v>
      </c>
      <c r="R26" s="36">
        <v>18505.830254940131</v>
      </c>
      <c r="S26" s="23"/>
      <c r="T26" s="53">
        <f>SUM(T10:T25)</f>
        <v>0</v>
      </c>
      <c r="U26" s="28"/>
      <c r="V26" s="34">
        <v>400</v>
      </c>
      <c r="W26" s="36">
        <v>20565.772871778488</v>
      </c>
      <c r="X26" s="35">
        <v>16670.719070091207</v>
      </c>
      <c r="Y26" s="23"/>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84"/>
      <c r="C27" s="83" t="s">
        <v>106</v>
      </c>
      <c r="D27" s="83"/>
      <c r="E27" s="91"/>
      <c r="F27" s="91"/>
      <c r="G27" s="91"/>
      <c r="H27" s="91"/>
      <c r="I27" s="54"/>
      <c r="J27" s="54"/>
      <c r="K27" s="54"/>
      <c r="L27" s="22"/>
      <c r="M27" s="1"/>
      <c r="O27" s="1"/>
      <c r="P27" s="34" t="s">
        <v>58</v>
      </c>
      <c r="Q27" s="36">
        <v>26706.19735670698</v>
      </c>
      <c r="R27" s="36">
        <v>21390.924878610775</v>
      </c>
      <c r="S27" s="1"/>
      <c r="U27" s="1"/>
      <c r="V27" s="34">
        <v>500</v>
      </c>
      <c r="W27" s="36">
        <v>22185.168329180666</v>
      </c>
      <c r="X27" s="35">
        <v>18755.88411632373</v>
      </c>
      <c r="Y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84"/>
      <c r="C28" s="83" t="s">
        <v>59</v>
      </c>
      <c r="D28" s="83"/>
      <c r="E28" s="83"/>
      <c r="F28" s="82" t="s">
        <v>60</v>
      </c>
      <c r="G28" s="87"/>
      <c r="H28" s="82" t="s">
        <v>61</v>
      </c>
      <c r="I28" s="52">
        <f>1/(1+I23)</f>
        <v>1</v>
      </c>
      <c r="J28" s="18"/>
      <c r="K28" s="18"/>
      <c r="L28" s="22"/>
      <c r="M28" s="1"/>
      <c r="O28" s="1"/>
      <c r="P28" s="34" t="s">
        <v>62</v>
      </c>
      <c r="Q28" s="36">
        <v>28033.098596050248</v>
      </c>
      <c r="R28" s="36">
        <v>23451.381130906164</v>
      </c>
      <c r="S28" s="1"/>
      <c r="U28" s="1"/>
      <c r="V28" s="34">
        <v>600</v>
      </c>
      <c r="W28" s="36">
        <v>22965.457796147002</v>
      </c>
      <c r="X28" s="35">
        <v>20093.248110190139</v>
      </c>
      <c r="Y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84"/>
      <c r="C29" s="82"/>
      <c r="D29" s="82"/>
      <c r="E29" s="82"/>
      <c r="F29" s="87" t="s">
        <v>63</v>
      </c>
      <c r="G29" s="82"/>
      <c r="H29" s="82" t="s">
        <v>61</v>
      </c>
      <c r="I29" s="52">
        <f>1/(1+I26)</f>
        <v>1</v>
      </c>
      <c r="J29" s="18"/>
      <c r="K29" s="18"/>
      <c r="L29" s="22"/>
      <c r="M29" s="1"/>
      <c r="O29" s="1"/>
      <c r="P29" s="34" t="s">
        <v>64</v>
      </c>
      <c r="Q29" s="36">
        <v>28303.977676149876</v>
      </c>
      <c r="R29" s="36">
        <v>23491.919640749085</v>
      </c>
      <c r="S29" s="1"/>
      <c r="U29" s="1"/>
      <c r="V29" s="34">
        <v>750</v>
      </c>
      <c r="W29" s="36">
        <v>24136.570700104439</v>
      </c>
      <c r="X29" s="35">
        <v>21766.303843785976</v>
      </c>
      <c r="Y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88" t="s">
        <v>65</v>
      </c>
      <c r="C30" s="82"/>
      <c r="D30" s="82"/>
      <c r="E30" s="82"/>
      <c r="F30" s="82"/>
      <c r="G30" s="82"/>
      <c r="H30" s="82"/>
      <c r="I30" s="18"/>
      <c r="J30" s="18"/>
      <c r="K30" s="18"/>
      <c r="L30" s="22"/>
      <c r="M30" s="1"/>
      <c r="O30" s="1"/>
      <c r="P30" s="34" t="s">
        <v>66</v>
      </c>
      <c r="Q30" s="36">
        <v>31490.635722979987</v>
      </c>
      <c r="R30" s="36">
        <v>28778.914851613878</v>
      </c>
      <c r="S30" s="1"/>
      <c r="U30" s="1"/>
      <c r="V30" s="34">
        <v>1000</v>
      </c>
      <c r="W30" s="36">
        <v>25278.006958277936</v>
      </c>
      <c r="X30" s="35">
        <v>23477.736376579767</v>
      </c>
      <c r="Y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84"/>
      <c r="C31" s="82"/>
      <c r="D31" s="82"/>
      <c r="E31" s="82"/>
      <c r="F31" s="82"/>
      <c r="G31" s="82"/>
      <c r="H31" s="82"/>
      <c r="I31" s="18"/>
      <c r="J31" s="18"/>
      <c r="K31" s="18"/>
      <c r="L31" s="22"/>
      <c r="M31" s="1"/>
      <c r="O31" s="1"/>
      <c r="P31" s="1"/>
      <c r="Q31" s="1"/>
      <c r="R31" s="1"/>
      <c r="S31" s="1"/>
      <c r="U31" s="1"/>
      <c r="V31" s="1"/>
      <c r="W31" s="1"/>
      <c r="X31" s="1"/>
      <c r="Y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92" t="s">
        <v>107</v>
      </c>
      <c r="C32" s="82"/>
      <c r="D32" s="82"/>
      <c r="E32" s="82"/>
      <c r="F32" s="82"/>
      <c r="G32" s="82"/>
      <c r="H32" s="82"/>
      <c r="I32" s="18"/>
      <c r="J32" s="55">
        <f>I19*I28</f>
        <v>3000</v>
      </c>
      <c r="K32" s="93" t="s">
        <v>27</v>
      </c>
      <c r="L32" s="22"/>
      <c r="M32" s="1"/>
      <c r="O32" s="56"/>
      <c r="P32" s="56"/>
      <c r="Q32" s="56"/>
      <c r="R32" s="56"/>
      <c r="S32" s="56"/>
      <c r="U32" s="56"/>
      <c r="V32" s="56"/>
      <c r="W32" s="56"/>
      <c r="X32" s="56"/>
      <c r="Y32" s="56"/>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92" t="s">
        <v>108</v>
      </c>
      <c r="C33" s="82"/>
      <c r="D33" s="82"/>
      <c r="E33" s="82"/>
      <c r="F33" s="82"/>
      <c r="G33" s="82"/>
      <c r="H33" s="82"/>
      <c r="I33" s="18"/>
      <c r="J33" s="55">
        <f>I19*I29*P35</f>
        <v>0</v>
      </c>
      <c r="K33" s="93" t="s">
        <v>27</v>
      </c>
      <c r="L33" s="22"/>
      <c r="M33" s="1"/>
      <c r="O33" s="56"/>
      <c r="P33" s="57"/>
      <c r="Q33" s="57" t="s">
        <v>69</v>
      </c>
      <c r="R33" s="57"/>
      <c r="S33" s="57"/>
      <c r="T33" s="58"/>
      <c r="U33" s="57"/>
      <c r="V33" s="57"/>
      <c r="W33" s="57"/>
      <c r="X33" s="57"/>
      <c r="Y33" s="57"/>
      <c r="Z33" s="58"/>
      <c r="AA33" s="59">
        <f>U34</f>
        <v>1</v>
      </c>
      <c r="AB33" s="58"/>
      <c r="AC33" s="58"/>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60"/>
      <c r="C34" s="61"/>
      <c r="D34" s="61"/>
      <c r="E34" s="61"/>
      <c r="F34" s="61"/>
      <c r="G34" s="61"/>
      <c r="H34" s="61"/>
      <c r="I34" s="61"/>
      <c r="J34" s="61"/>
      <c r="K34" s="61"/>
      <c r="L34" s="62"/>
      <c r="M34" s="1"/>
      <c r="O34" s="56"/>
      <c r="P34" s="57">
        <v>1</v>
      </c>
      <c r="Q34" s="57">
        <v>0</v>
      </c>
      <c r="R34" s="57" t="s">
        <v>70</v>
      </c>
      <c r="S34" s="57">
        <f>IF($P$34=2,R42,0)</f>
        <v>0</v>
      </c>
      <c r="T34" s="63">
        <f>IF($P$34=2,R41,0)</f>
        <v>0</v>
      </c>
      <c r="U34" s="57">
        <v>1</v>
      </c>
      <c r="V34" s="57">
        <f>CHOOSE(U34,0,240,208,208,480,480)</f>
        <v>0</v>
      </c>
      <c r="W34" s="57" t="s">
        <v>71</v>
      </c>
      <c r="X34" s="57"/>
      <c r="Y34" s="57"/>
      <c r="Z34" s="58">
        <f>IF(U34=1,1,0)</f>
        <v>1</v>
      </c>
      <c r="AA34" s="58">
        <f>IF(U44=2,0,-1)</f>
        <v>-1</v>
      </c>
      <c r="AB34" s="58"/>
      <c r="AC34" s="58"/>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6"/>
      <c r="P35" s="57">
        <f>CHOOSE(U34,0,Q35,Q36,Q37,Q38,Q39)</f>
        <v>0</v>
      </c>
      <c r="Q35" s="57">
        <v>1.5</v>
      </c>
      <c r="R35" s="57" t="s">
        <v>72</v>
      </c>
      <c r="S35" s="57">
        <f>IF($P$34=3,S42,0)</f>
        <v>0</v>
      </c>
      <c r="T35" s="63">
        <f>IF($P$34=3,S41,0)</f>
        <v>0</v>
      </c>
      <c r="U35" s="57"/>
      <c r="V35" s="57">
        <f>CHOOSE(U34,0,2,2,1.732,2,1.732)</f>
        <v>0</v>
      </c>
      <c r="W35" s="57" t="s">
        <v>73</v>
      </c>
      <c r="X35" s="57"/>
      <c r="Y35" s="57"/>
      <c r="Z35" s="58">
        <f>IF(U44=2,1,0)</f>
        <v>0</v>
      </c>
      <c r="AA35" s="58">
        <f>IF(U44=2,-1,0)</f>
        <v>0</v>
      </c>
      <c r="AB35" s="58"/>
      <c r="AC35" s="58"/>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97"/>
      <c r="K36" s="7"/>
      <c r="L36" s="64"/>
      <c r="M36" s="1"/>
      <c r="P36" s="58"/>
      <c r="Q36" s="58">
        <v>1</v>
      </c>
      <c r="R36" s="58" t="s">
        <v>74</v>
      </c>
      <c r="S36" s="57">
        <f>IF($P$34=4,X42,0)</f>
        <v>0</v>
      </c>
      <c r="T36" s="63">
        <f>IF($P$34=4,X41,0)</f>
        <v>0</v>
      </c>
      <c r="U36" s="58"/>
      <c r="V36" s="57">
        <f>CHOOSE(U34,0,"E","E","E x 1.732","E","E x 1.732")</f>
        <v>0</v>
      </c>
      <c r="W36" s="57" t="s">
        <v>75</v>
      </c>
      <c r="X36" s="57"/>
      <c r="Y36" s="57"/>
      <c r="Z36" s="58">
        <f>IF(U44=2,1,0)</f>
        <v>0</v>
      </c>
      <c r="AA36" s="58">
        <f>IF(U44=2,-1,0)</f>
        <v>0</v>
      </c>
      <c r="AB36" s="58"/>
      <c r="AC36" s="58"/>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6" t="s">
        <v>76</v>
      </c>
      <c r="C37" s="18"/>
      <c r="D37" s="155" t="s">
        <v>77</v>
      </c>
      <c r="E37" s="156"/>
      <c r="F37" s="156"/>
      <c r="G37" s="156"/>
      <c r="H37" s="156"/>
      <c r="I37" s="156"/>
      <c r="J37" s="18"/>
      <c r="K37" s="18"/>
      <c r="L37" s="22"/>
      <c r="M37" s="1"/>
      <c r="P37" s="58"/>
      <c r="Q37" s="58">
        <v>1</v>
      </c>
      <c r="R37" s="58" t="s">
        <v>78</v>
      </c>
      <c r="S37" s="57">
        <f>IF($P$34=5,Y42,0)</f>
        <v>0</v>
      </c>
      <c r="T37" s="63">
        <f>IF($P$34=5,Y41,0)</f>
        <v>0</v>
      </c>
      <c r="U37" s="58"/>
      <c r="V37" s="57">
        <f>CHOOSE(U34,0,I8*1000/I9,I8*1000/I9,I8*1000/(I9*1.732),I8*1000/I9,I8*1000/(I9*1.732))</f>
        <v>0</v>
      </c>
      <c r="W37" s="65" t="s">
        <v>79</v>
      </c>
      <c r="X37" s="66"/>
      <c r="Y37" s="66"/>
      <c r="Z37" s="58">
        <f>IF(U44=2,0,0)</f>
        <v>0</v>
      </c>
      <c r="AA37" s="58">
        <f>IF(U44=1,0,0)</f>
        <v>0</v>
      </c>
      <c r="AB37" s="58">
        <f>IF(SUM($U$44*$U$34=8),0,1)</f>
        <v>1</v>
      </c>
      <c r="AC37" s="58" t="b">
        <f>OR(AB37,AB39)</f>
        <v>1</v>
      </c>
      <c r="AD37">
        <f>IF(AC37,0,-1)</f>
        <v>0</v>
      </c>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P38" s="58"/>
      <c r="Q38" s="58">
        <v>1.5</v>
      </c>
      <c r="R38" s="58"/>
      <c r="S38" s="58">
        <f>SUM(S34:S37)</f>
        <v>0</v>
      </c>
      <c r="T38" s="67">
        <f>SUM(T34:T37)</f>
        <v>0</v>
      </c>
      <c r="U38" s="58"/>
      <c r="V38" s="57">
        <f>CHOOSE(U34,0,120,120,120,277,277)</f>
        <v>0</v>
      </c>
      <c r="W38" s="57" t="s">
        <v>80</v>
      </c>
      <c r="X38" s="58"/>
      <c r="Y38" s="58"/>
      <c r="Z38" s="58">
        <f>IF(U44=2,1,0)</f>
        <v>0</v>
      </c>
      <c r="AA38" s="58">
        <f>IF(U44=2,-1,0)</f>
        <v>0</v>
      </c>
      <c r="AB38" s="58"/>
      <c r="AC38" s="58"/>
      <c r="AD38" s="68">
        <f>IF(SUM(U44+U34=8),-1,0)</f>
        <v>0</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146" t="str">
        <f>W51</f>
        <v>Single Phase Feeder</v>
      </c>
      <c r="C39" s="147"/>
      <c r="D39" s="147"/>
      <c r="E39" s="148"/>
      <c r="F39" s="18" t="s">
        <v>29</v>
      </c>
      <c r="G39" s="18"/>
      <c r="H39" s="18" t="s">
        <v>30</v>
      </c>
      <c r="I39" s="21"/>
      <c r="J39" s="18"/>
      <c r="K39" s="18"/>
      <c r="L39" s="22"/>
      <c r="M39" s="1"/>
      <c r="P39" s="58"/>
      <c r="Q39" s="58">
        <v>1</v>
      </c>
      <c r="R39" s="58"/>
      <c r="S39" s="58"/>
      <c r="T39" s="58"/>
      <c r="U39" s="58"/>
      <c r="V39" s="57">
        <f>CHOOSE(U34,0,240,208,208,480,480)</f>
        <v>0</v>
      </c>
      <c r="W39" s="65" t="s">
        <v>81</v>
      </c>
      <c r="X39" s="58"/>
      <c r="Y39" s="58"/>
      <c r="Z39" s="58">
        <f>IF(U44=2,0,0)</f>
        <v>0</v>
      </c>
      <c r="AA39" s="58">
        <f>IF(U34=6,0,0)</f>
        <v>0</v>
      </c>
      <c r="AB39" s="58">
        <f>IF(SUM(U44*U34=8),0,1)</f>
        <v>1</v>
      </c>
      <c r="AC39" s="58"/>
      <c r="AD39">
        <f>IF(SUM(U34+U44=6),-1,0)</f>
        <v>0</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149" t="s">
        <v>31</v>
      </c>
      <c r="C40" s="32" t="str">
        <f>V44</f>
        <v xml:space="preserve">        2 x L x I</v>
      </c>
      <c r="D40" s="32"/>
      <c r="E40" s="32"/>
      <c r="F40" s="18" t="s">
        <v>32</v>
      </c>
      <c r="G40" s="18"/>
      <c r="H40" s="18" t="s">
        <v>33</v>
      </c>
      <c r="I40" s="47">
        <f>J32</f>
        <v>3000</v>
      </c>
      <c r="J40" s="18" t="s">
        <v>82</v>
      </c>
      <c r="K40" s="47">
        <f>J33</f>
        <v>0</v>
      </c>
      <c r="L40" s="22" t="s">
        <v>83</v>
      </c>
      <c r="M40" s="1"/>
      <c r="P40" s="69">
        <v>1</v>
      </c>
      <c r="Q40" s="69" t="s">
        <v>69</v>
      </c>
      <c r="R40" s="70">
        <f>CHOOSE($P$40,0,Q10,Q11,Q12,Q13,Q14,Q15,Q16,Q17,Q18,Q19,Q20,Q21,Q22,Q23,Q24,Q25,Q26,Q27,Q28,Q29,Q30)</f>
        <v>0</v>
      </c>
      <c r="S40" s="70">
        <f>CHOOSE($P$40,0,R10,R11,R12,R13,R14,R15,R16,R17,R18,R19,R20,R21,R22,R23,R24,R25,R26,R27,R28,R29,R30)</f>
        <v>0</v>
      </c>
      <c r="T40" s="65">
        <f>IF(O40,S40,0)</f>
        <v>0</v>
      </c>
      <c r="U40" s="57">
        <v>1</v>
      </c>
      <c r="V40" s="69" t="s">
        <v>84</v>
      </c>
      <c r="W40" s="69"/>
      <c r="X40" s="70">
        <f>CHOOSE($P$40,0,W10,W11,W12,W13,W14,W15,W16,W17,W18,W19,W20,W21,W22,W23,W24,W25,W26,W27,W28,W29,W30)</f>
        <v>0</v>
      </c>
      <c r="Y40" s="70">
        <f>CHOOSE($P$40,0,X10,X11,X12,X13,X14,X15,X16,X17,X18,X19,X20,X21,X22,X23,X24,X25,X26,X27,X28,X29,X30)</f>
        <v>0</v>
      </c>
      <c r="Z40" s="58">
        <f>SUM(Z34:Z39)</f>
        <v>1</v>
      </c>
      <c r="AA40" s="58">
        <f>SUM(AA34:AA39)</f>
        <v>-1</v>
      </c>
      <c r="AB40" s="58">
        <f>SUM(Z40:AA40)</f>
        <v>0</v>
      </c>
      <c r="AC40" s="58"/>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150"/>
      <c r="C41" s="32" t="s">
        <v>35</v>
      </c>
      <c r="D41" s="32"/>
      <c r="E41" s="32"/>
      <c r="F41" s="48" t="s">
        <v>36</v>
      </c>
      <c r="G41" s="18"/>
      <c r="H41" s="18" t="s">
        <v>37</v>
      </c>
      <c r="I41" s="21"/>
      <c r="J41" s="49"/>
      <c r="K41" s="18"/>
      <c r="L41" s="22"/>
      <c r="M41" s="1"/>
      <c r="P41" s="58"/>
      <c r="Q41" s="58"/>
      <c r="R41" s="71">
        <f>SUM(R40+R42)/2</f>
        <v>5711.869055793366</v>
      </c>
      <c r="S41" s="71">
        <f>SUM(S40+S42)/2</f>
        <v>3650.6767629434776</v>
      </c>
      <c r="T41" s="72">
        <f>IF(O41,S41,0)</f>
        <v>0</v>
      </c>
      <c r="U41" s="57"/>
      <c r="V41" s="57" t="str">
        <f>CHOOSE(U34,"        2 x L x I","        2 x L x I","        2 x L x I","      1.732 x L x I","        2 x L x I","      1.732 x L x I")</f>
        <v xml:space="preserve">        2 x L x I</v>
      </c>
      <c r="W41" s="58"/>
      <c r="X41" s="71">
        <f>SUM(X40+X42)/2</f>
        <v>5377.5690851959152</v>
      </c>
      <c r="Y41" s="71">
        <f>SUM(Y40+Y42)/2</f>
        <v>3593.329371726616</v>
      </c>
      <c r="Z41" s="58"/>
      <c r="AA41" s="58"/>
      <c r="AB41" s="59">
        <f>IF(U44=1,0,1)</f>
        <v>0</v>
      </c>
      <c r="AC41" s="58"/>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137" t="s">
        <v>39</v>
      </c>
      <c r="F42" s="138"/>
      <c r="G42" s="137"/>
      <c r="H42" s="18" t="s">
        <v>40</v>
      </c>
      <c r="I42" s="50">
        <f>S55</f>
        <v>0</v>
      </c>
      <c r="J42" s="73" t="str">
        <f>J21</f>
        <v>Phase Conductor</v>
      </c>
      <c r="K42" s="18"/>
      <c r="L42" s="22"/>
      <c r="M42" s="1"/>
      <c r="P42" s="59">
        <v>12</v>
      </c>
      <c r="Q42" s="74" t="s">
        <v>85</v>
      </c>
      <c r="R42" s="75">
        <f>CHOOSE($P$42,0,Q10,Q11,Q12,Q13,Q14,Q15,Q16,Q17,Q18,Q19,Q20,Q21,Q22,Q23,Q24,Q25,Q26,Q27,Q28,Q29,Q30)</f>
        <v>11423.738111586732</v>
      </c>
      <c r="S42" s="75">
        <f>CHOOSE($P$42,0,R10,R11,R12,R13,R14,R15,R16,R17,R18,R19,R20,R21,R22,R23,R24,R25,R26,R27,R28,R29,R30)</f>
        <v>7301.3535258869551</v>
      </c>
      <c r="T42" s="65">
        <f>IF(O42,#REF!,0)</f>
        <v>0</v>
      </c>
      <c r="U42" s="57"/>
      <c r="V42" s="59" t="s">
        <v>86</v>
      </c>
      <c r="W42" s="74" t="b">
        <v>1</v>
      </c>
      <c r="X42" s="75">
        <f>CHOOSE($P$42,0,W10,W11,W12,W13,W14,W15,W16,W17,W18,W19,W20,W21,W22,W23,W24,W25,W26,W27,W28,W29,W30)</f>
        <v>10755.13817039183</v>
      </c>
      <c r="Y42" s="75">
        <f>CHOOSE($P$42,0,X10,X11,X12,X13,X14,X15,X16,X17,X18,X19,X20,X21,X22,X23,X24,X25,X26,X27,X28,X29,X30)</f>
        <v>7186.6587434532321</v>
      </c>
      <c r="Z42" s="58"/>
      <c r="AA42" s="58"/>
      <c r="AB42" s="58">
        <f>AD37</f>
        <v>0</v>
      </c>
      <c r="AC42" s="58"/>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
        <v>43</v>
      </c>
      <c r="G43" s="18"/>
      <c r="H43" s="18" t="s">
        <v>44</v>
      </c>
      <c r="I43" s="76">
        <f>$V$39</f>
        <v>0</v>
      </c>
      <c r="J43" s="18" t="s">
        <v>45</v>
      </c>
      <c r="K43" s="18"/>
      <c r="L43" s="22"/>
      <c r="M43" s="1"/>
      <c r="P43" s="58"/>
      <c r="Q43" s="58" t="b">
        <v>1</v>
      </c>
      <c r="R43" s="58"/>
      <c r="S43" s="58"/>
      <c r="T43" s="37">
        <f>IF(O43,#REF!,0)</f>
        <v>0</v>
      </c>
      <c r="U43" s="58"/>
      <c r="V43" s="58"/>
      <c r="W43" s="58" t="b">
        <v>1</v>
      </c>
      <c r="X43" s="58"/>
      <c r="Y43" s="58"/>
      <c r="Z43" s="58"/>
      <c r="AA43" s="58"/>
      <c r="AB43" s="67">
        <f>SUM(AD38:AD39)</f>
        <v>0</v>
      </c>
      <c r="AC43" s="58"/>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52">
        <f>IF(I42=0,0,(V45*I39*I40)/(I41*I42*I43))</f>
        <v>0</v>
      </c>
      <c r="J44" s="18"/>
      <c r="K44" s="18"/>
      <c r="L44" s="22"/>
      <c r="M44" s="1"/>
      <c r="P44" s="58"/>
      <c r="Q44" s="58"/>
      <c r="R44" s="58"/>
      <c r="S44" s="58"/>
      <c r="T44" s="37">
        <f>IF(O44,#REF!,0)</f>
        <v>0</v>
      </c>
      <c r="U44" s="58">
        <v>1</v>
      </c>
      <c r="V44" s="57" t="str">
        <f>CHOOSE(U44,"        2 x L x I","      1.732 x L x I")</f>
        <v xml:space="preserve">        2 x L x I</v>
      </c>
      <c r="W44" s="58" t="s">
        <v>87</v>
      </c>
      <c r="X44" s="58"/>
      <c r="Y44" s="58" t="str">
        <f>IF(U44=1,"Single Phase Feeder","Three Phase Feeder")</f>
        <v>Single Phase Feeder</v>
      </c>
      <c r="Z44" s="58"/>
      <c r="AA44" s="58"/>
      <c r="AB44" s="67">
        <f>SUM(AB40:AB43)</f>
        <v>0</v>
      </c>
      <c r="AC44" s="58"/>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137" t="s">
        <v>49</v>
      </c>
      <c r="F45" s="138"/>
      <c r="G45" s="137"/>
      <c r="H45" s="18" t="s">
        <v>40</v>
      </c>
      <c r="I45" s="50">
        <f>T55</f>
        <v>0</v>
      </c>
      <c r="J45" s="73" t="str">
        <f>J24</f>
        <v>Neutral Conductor</v>
      </c>
      <c r="K45" s="18"/>
      <c r="L45" s="22"/>
      <c r="M45" s="1"/>
      <c r="P45" s="58"/>
      <c r="Q45" s="58"/>
      <c r="R45" s="58"/>
      <c r="S45" s="58"/>
      <c r="T45" s="37"/>
      <c r="U45" s="58"/>
      <c r="V45" s="58">
        <f>CHOOSE(U44,2,1.732)</f>
        <v>2</v>
      </c>
      <c r="W45" s="58" t="s">
        <v>88</v>
      </c>
      <c r="X45" s="58"/>
      <c r="Y45" s="58"/>
      <c r="Z45" s="58"/>
      <c r="AA45" s="58"/>
      <c r="AB45" s="58"/>
      <c r="AC45" s="58"/>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
        <v>53</v>
      </c>
      <c r="G46" s="18"/>
      <c r="H46" s="18" t="s">
        <v>54</v>
      </c>
      <c r="I46" s="76">
        <f>$V$38</f>
        <v>0</v>
      </c>
      <c r="J46" s="18" t="s">
        <v>45</v>
      </c>
      <c r="K46" s="18"/>
      <c r="L46" s="22"/>
      <c r="M46" s="1"/>
      <c r="P46" s="69">
        <v>1</v>
      </c>
      <c r="Q46" s="69"/>
      <c r="R46" s="69">
        <f>CHOOSE($P$46,0,Q10,Q11,Q12,Q13,Q14,Q15,Q16,Q17,Q18,Q19,Q20,Q21,Q22,Q23,Q24,Q25,Q26,Q27,Q28,Q29,Q30)</f>
        <v>0</v>
      </c>
      <c r="S46" s="69">
        <f>CHOOSE(P46,0,R10,R11,R12,R13,R14,R15,R16,R17,R18,R19,R20,R21,R22,R23,R24,R25,R26,R27,R28,R29:R30)</f>
        <v>0</v>
      </c>
      <c r="T46" s="77">
        <f>IF(O46,#REF!,0)</f>
        <v>0</v>
      </c>
      <c r="U46" s="69"/>
      <c r="V46" s="69"/>
      <c r="W46" s="69"/>
      <c r="X46" s="69">
        <f>CHOOSE(P46,0,W10,W11,W12,W13,W14,W15,W16,W17,W18,W19,W20,W21,W22,W23,W24,W25,W26,W27,W28,W29,W30)</f>
        <v>0</v>
      </c>
      <c r="Y46" s="69">
        <f>CHOOSE(P46,0,X10,X11,X12,X13,X14,X15,X16,X17,X18,X19,X20,X21,X22,X23,X24,X25,X26,X27,X28,X29,X30)</f>
        <v>0</v>
      </c>
      <c r="Z46" s="58"/>
      <c r="AA46" s="58"/>
      <c r="AB46" s="58"/>
      <c r="AC46" s="58"/>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6" t="s">
        <v>52</v>
      </c>
      <c r="C47" s="18"/>
      <c r="D47" s="18"/>
      <c r="E47" s="18"/>
      <c r="F47" s="18"/>
      <c r="G47" s="18"/>
      <c r="H47" s="18" t="s">
        <v>47</v>
      </c>
      <c r="I47" s="52">
        <f>IF(I45=0,0,(2*I39*K40)/(I41*I45*I46))</f>
        <v>0</v>
      </c>
      <c r="J47" s="18"/>
      <c r="K47" s="18"/>
      <c r="L47" s="22"/>
      <c r="M47" s="1"/>
      <c r="P47" s="58"/>
      <c r="Q47" s="58"/>
      <c r="R47" s="71">
        <f>SUM(R46+R49)/2</f>
        <v>0</v>
      </c>
      <c r="S47" s="71">
        <f>SUM(S46+S49)/2</f>
        <v>0</v>
      </c>
      <c r="T47" s="66">
        <f>IF(O47,#REF!,0)</f>
        <v>0</v>
      </c>
      <c r="U47" s="58"/>
      <c r="V47" s="58"/>
      <c r="W47" s="58"/>
      <c r="X47" s="71">
        <f>SUM(X46+X49)/2</f>
        <v>0</v>
      </c>
      <c r="Y47" s="71">
        <f>SUM(Y46+Y49)/2</f>
        <v>0</v>
      </c>
      <c r="Z47" s="58"/>
      <c r="AA47" s="58"/>
      <c r="AB47" s="58"/>
      <c r="AC47" s="58"/>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P48" s="59"/>
      <c r="Q48" s="59"/>
      <c r="R48" s="59"/>
      <c r="S48" s="59"/>
      <c r="T48" s="78">
        <f>IF(O48,#REF!,0)</f>
        <v>0</v>
      </c>
      <c r="U48" s="59"/>
      <c r="V48" s="59"/>
      <c r="W48" s="59"/>
      <c r="X48" s="59"/>
      <c r="Y48" s="59"/>
      <c r="Z48" s="58"/>
      <c r="AA48" s="58"/>
      <c r="AB48" s="58"/>
      <c r="AC48" s="58"/>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2" t="s">
        <v>57</v>
      </c>
      <c r="D49" s="32"/>
      <c r="E49" s="32"/>
      <c r="F49" s="18" t="s">
        <v>60</v>
      </c>
      <c r="G49" s="19"/>
      <c r="H49" s="18" t="s">
        <v>61</v>
      </c>
      <c r="I49" s="52">
        <f>1/(1+I44)</f>
        <v>1</v>
      </c>
      <c r="J49" s="18"/>
      <c r="K49" s="18"/>
      <c r="L49" s="22"/>
      <c r="M49" s="1"/>
      <c r="P49" s="59">
        <v>1</v>
      </c>
      <c r="Q49" s="74" t="b">
        <v>0</v>
      </c>
      <c r="R49" s="59">
        <f>CHOOSE($P$49,0,Q10,Q11,Q12,Q13,Q14,Q15,Q16,Q17,Q18,Q19,Q20,Q21,Q22,Q23,Q24,Q25,Q26,Q27,Q28,Q29,Q30)</f>
        <v>0</v>
      </c>
      <c r="S49" s="59">
        <f>CHOOSE(P49,0,R10,R11,R12,R13,R14,R15,R16,R17,R18,R19,R20,R21,R22,R23,R24,R25,R26,R27,R28,R29,R30)</f>
        <v>0</v>
      </c>
      <c r="T49" s="78">
        <f>IF(O49,#REF!,0)</f>
        <v>0</v>
      </c>
      <c r="U49" s="59"/>
      <c r="V49" s="59" t="s">
        <v>2</v>
      </c>
      <c r="W49" s="74" t="b">
        <v>0</v>
      </c>
      <c r="X49" s="59">
        <f>CHOOSE(P49,0,W10,W11,W12,W13,W14,W15,W16,W17,W18,W19,W20,W21,W22,W23,W24,W25,W26,W27,W28,W29,W30)</f>
        <v>0</v>
      </c>
      <c r="Y49" s="59">
        <f>CHOOSE(P49,0,X10,X11,X12,X13,X14,X15,X16,X17,X18,X19,X20,X21,X22,X23,X24,X25,X26,X27,X28,X29,X30)</f>
        <v>0</v>
      </c>
      <c r="Z49" s="58"/>
      <c r="AA49" s="58"/>
      <c r="AB49" s="58"/>
      <c r="AC49" s="58"/>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c r="A50" s="1"/>
      <c r="B50" s="26"/>
      <c r="C50" s="32" t="s">
        <v>59</v>
      </c>
      <c r="D50" s="32"/>
      <c r="E50" s="32"/>
      <c r="F50" s="19" t="s">
        <v>63</v>
      </c>
      <c r="G50" s="18"/>
      <c r="H50" s="18" t="s">
        <v>61</v>
      </c>
      <c r="I50" s="52">
        <f>1/(1+I47)</f>
        <v>1</v>
      </c>
      <c r="J50" s="18" t="s">
        <v>2</v>
      </c>
      <c r="K50" s="18"/>
      <c r="L50" s="22"/>
      <c r="M50" s="1"/>
      <c r="P50" s="58"/>
      <c r="Q50" s="58"/>
      <c r="R50" s="58"/>
      <c r="S50" s="58"/>
      <c r="T50" s="37">
        <f>IF(O50,S50,0)</f>
        <v>0</v>
      </c>
      <c r="U50" s="58"/>
      <c r="V50" s="58"/>
      <c r="W50" s="58"/>
      <c r="X50" s="58"/>
      <c r="Y50" s="58"/>
      <c r="Z50" s="58"/>
      <c r="AA50" s="58"/>
      <c r="AB50" s="58"/>
      <c r="AC50" s="58"/>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c r="A51" s="1"/>
      <c r="B51" s="26"/>
      <c r="C51" s="18"/>
      <c r="D51" s="18"/>
      <c r="E51" s="18"/>
      <c r="F51" s="18"/>
      <c r="G51" s="18"/>
      <c r="H51" s="18"/>
      <c r="I51" s="18"/>
      <c r="J51" s="18"/>
      <c r="K51" s="19"/>
      <c r="L51" s="22"/>
      <c r="M51" s="1"/>
      <c r="P51" s="58">
        <v>1</v>
      </c>
      <c r="Q51" s="58"/>
      <c r="R51" s="57" t="s">
        <v>70</v>
      </c>
      <c r="S51" s="57">
        <f>IF(P51=2,R49,0)</f>
        <v>0</v>
      </c>
      <c r="T51" s="57">
        <f>IF(P51=2,R47,0)</f>
        <v>0</v>
      </c>
      <c r="U51" s="58"/>
      <c r="V51" s="58"/>
      <c r="W51" s="57" t="str">
        <f>IF(AB44&gt;0,"Error Check Above Selection",Y44)</f>
        <v>Single Phase Feeder</v>
      </c>
      <c r="X51" s="57"/>
      <c r="Y51" s="57"/>
      <c r="Z51" s="58"/>
      <c r="AA51" s="58"/>
      <c r="AB51" s="58"/>
      <c r="AC51" s="58"/>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139" t="s">
        <v>89</v>
      </c>
      <c r="C52" s="140"/>
      <c r="D52" s="140"/>
      <c r="E52" s="140"/>
      <c r="F52" s="140"/>
      <c r="G52" s="140"/>
      <c r="H52" s="18"/>
      <c r="I52" s="18"/>
      <c r="J52" s="55">
        <f>I40*I49</f>
        <v>3000</v>
      </c>
      <c r="K52" s="32" t="s">
        <v>27</v>
      </c>
      <c r="L52" s="22"/>
      <c r="M52" s="1"/>
      <c r="P52" s="58"/>
      <c r="Q52" s="58"/>
      <c r="R52" s="57" t="s">
        <v>72</v>
      </c>
      <c r="S52" s="57">
        <f>IF(P51=3,S49,0)</f>
        <v>0</v>
      </c>
      <c r="T52" s="57">
        <f>IF(P51=3,S47,0)</f>
        <v>0</v>
      </c>
      <c r="U52" s="58"/>
      <c r="V52" s="58"/>
      <c r="W52" s="57" t="s">
        <v>2</v>
      </c>
      <c r="X52" s="57"/>
      <c r="Y52" s="57"/>
      <c r="Z52" s="58"/>
      <c r="AA52" s="58"/>
      <c r="AB52" s="58"/>
      <c r="AC52" s="58"/>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139" t="s">
        <v>90</v>
      </c>
      <c r="C53" s="140"/>
      <c r="D53" s="140"/>
      <c r="E53" s="140"/>
      <c r="F53" s="140"/>
      <c r="G53" s="140"/>
      <c r="H53" s="18"/>
      <c r="I53" s="18"/>
      <c r="J53" s="55">
        <f>K40*I50*P35</f>
        <v>0</v>
      </c>
      <c r="K53" s="32" t="s">
        <v>27</v>
      </c>
      <c r="L53" s="22"/>
      <c r="M53" s="1"/>
      <c r="P53" s="58"/>
      <c r="Q53" s="58"/>
      <c r="R53" s="58" t="s">
        <v>74</v>
      </c>
      <c r="S53" s="57">
        <f>IF(P51=4,X49,0)</f>
        <v>0</v>
      </c>
      <c r="T53" s="57">
        <f>IF(P51=4,X47,0)</f>
        <v>0</v>
      </c>
      <c r="U53" s="58"/>
      <c r="V53" s="58"/>
      <c r="W53" s="57" t="s">
        <v>2</v>
      </c>
      <c r="X53" s="57" t="s">
        <v>2</v>
      </c>
      <c r="Y53" s="57"/>
      <c r="Z53" s="58"/>
      <c r="AA53" s="58"/>
      <c r="AB53" s="58"/>
      <c r="AC53" s="58"/>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P54" s="58"/>
      <c r="Q54" s="58"/>
      <c r="R54" s="58" t="s">
        <v>78</v>
      </c>
      <c r="S54" s="57">
        <f>IF(P51=5,Y49,0)</f>
        <v>0</v>
      </c>
      <c r="T54" s="57">
        <f>IF(P51=5,Y47,0)</f>
        <v>0</v>
      </c>
      <c r="U54" s="58"/>
      <c r="V54" s="58"/>
      <c r="W54" s="57"/>
      <c r="X54" s="66"/>
      <c r="Y54" s="66"/>
      <c r="Z54" s="58"/>
      <c r="AA54" s="58"/>
      <c r="AB54" s="58"/>
      <c r="AC54" s="58"/>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141" t="s">
        <v>91</v>
      </c>
      <c r="D55" s="142"/>
      <c r="E55" s="142"/>
      <c r="F55" s="142"/>
      <c r="G55" s="142"/>
      <c r="H55" s="142"/>
      <c r="I55" s="142"/>
      <c r="J55" s="142"/>
      <c r="K55" s="143"/>
      <c r="L55" s="22"/>
      <c r="M55" s="1"/>
      <c r="P55" s="58"/>
      <c r="Q55" s="58"/>
      <c r="R55" s="58"/>
      <c r="S55" s="71">
        <f>SUM(S51:S54)</f>
        <v>0</v>
      </c>
      <c r="T55" s="71">
        <f>SUM(T51:T54)</f>
        <v>0</v>
      </c>
      <c r="U55" s="58"/>
      <c r="V55" s="58"/>
      <c r="W55" s="57"/>
      <c r="X55" s="58"/>
      <c r="Y55" s="58"/>
      <c r="Z55" s="58"/>
      <c r="AA55" s="58"/>
      <c r="AB55" s="58"/>
      <c r="AC55" s="58"/>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60"/>
      <c r="C56" s="61"/>
      <c r="D56" s="61"/>
      <c r="E56" s="61"/>
      <c r="F56" s="61"/>
      <c r="G56" s="61"/>
      <c r="H56" s="61"/>
      <c r="I56" s="61"/>
      <c r="J56" s="61"/>
      <c r="K56" s="61"/>
      <c r="L56" s="62"/>
      <c r="M56" s="1"/>
      <c r="P56" s="58"/>
      <c r="Q56" s="58"/>
      <c r="R56" s="58"/>
      <c r="S56" s="58"/>
      <c r="T56" s="37">
        <f>IF(O56,S56,0)</f>
        <v>0</v>
      </c>
      <c r="U56" s="58"/>
      <c r="V56" s="58"/>
      <c r="W56" s="65"/>
      <c r="X56" s="58"/>
      <c r="Y56" s="58"/>
      <c r="Z56" s="58"/>
      <c r="AA56" s="58"/>
      <c r="AB56" s="58"/>
      <c r="AC56" s="58"/>
      <c r="AD56" s="58"/>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53">
        <f>SUM(T40:T56)</f>
        <v>0</v>
      </c>
      <c r="W57" s="58"/>
      <c r="X57" s="58"/>
      <c r="Y57" s="58"/>
      <c r="Z57" s="58"/>
      <c r="AA57" s="59">
        <f>U58</f>
        <v>0</v>
      </c>
      <c r="AB57" s="58"/>
      <c r="AC57" s="58"/>
      <c r="AD57" s="58"/>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8">
        <f>IF(U58=1,1,0)</f>
        <v>0</v>
      </c>
      <c r="AA58" s="58">
        <f>IF(U68=2,0,-1)</f>
        <v>-1</v>
      </c>
      <c r="AB58" s="58"/>
      <c r="AC58" s="58"/>
      <c r="AD58" s="58"/>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4"/>
      <c r="M59" s="1"/>
      <c r="Z59" s="58">
        <f>IF(U68=2,1,0)</f>
        <v>0</v>
      </c>
      <c r="AA59" s="58">
        <f>IF(U68=2,-1,0)</f>
        <v>0</v>
      </c>
      <c r="AB59" s="58"/>
      <c r="AC59" s="58"/>
      <c r="AD59" s="58"/>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6" t="s">
        <v>92</v>
      </c>
      <c r="C60" s="18"/>
      <c r="D60" s="79"/>
      <c r="E60" s="144" t="s">
        <v>93</v>
      </c>
      <c r="F60" s="145"/>
      <c r="G60" s="145"/>
      <c r="H60" s="145"/>
      <c r="I60" s="145"/>
      <c r="J60" s="18"/>
      <c r="K60" s="18"/>
      <c r="L60" s="22"/>
      <c r="M60" s="1"/>
      <c r="Z60" s="58">
        <f>IF(U68=2,1,0)</f>
        <v>0</v>
      </c>
      <c r="AA60" s="58">
        <f>IF(U68=2,-1,0)</f>
        <v>0</v>
      </c>
      <c r="AB60" s="58"/>
      <c r="AC60" s="58"/>
      <c r="AD60" s="58"/>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Z61" s="58">
        <f>IF(U68=2,0,0)</f>
        <v>0</v>
      </c>
      <c r="AA61" s="58">
        <f>IF(U68=1,0,0)</f>
        <v>0</v>
      </c>
      <c r="AB61" s="58">
        <f>IF(SUM($U$44*$U$34=8),0,1)</f>
        <v>1</v>
      </c>
      <c r="AC61" s="58" t="b">
        <f>OR(AB61,AB63)</f>
        <v>1</v>
      </c>
      <c r="AD61" s="58">
        <f>IF(AC61,0,-1)</f>
        <v>0</v>
      </c>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146" t="str">
        <f>W74</f>
        <v>Single Phase Branch</v>
      </c>
      <c r="C62" s="147"/>
      <c r="D62" s="147"/>
      <c r="E62" s="148"/>
      <c r="F62" s="18" t="s">
        <v>29</v>
      </c>
      <c r="G62" s="18"/>
      <c r="H62" s="18" t="s">
        <v>30</v>
      </c>
      <c r="I62" s="21"/>
      <c r="J62" s="18"/>
      <c r="K62" s="18"/>
      <c r="L62" s="22"/>
      <c r="M62" s="1"/>
      <c r="Z62" s="58">
        <f>IF(U68=2,1,0)</f>
        <v>0</v>
      </c>
      <c r="AA62" s="58">
        <f>IF(U68=2,-1,0)</f>
        <v>0</v>
      </c>
      <c r="AB62" s="58"/>
      <c r="AC62" s="58"/>
      <c r="AD62" s="67">
        <f>IF(SUM(U68+U58=8),-1,0)</f>
        <v>0</v>
      </c>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149" t="s">
        <v>31</v>
      </c>
      <c r="C63" s="32" t="str">
        <f>V67</f>
        <v xml:space="preserve">        2 x L x I</v>
      </c>
      <c r="D63" s="32"/>
      <c r="E63" s="32"/>
      <c r="F63" s="18" t="s">
        <v>32</v>
      </c>
      <c r="G63" s="18"/>
      <c r="H63" s="18" t="s">
        <v>33</v>
      </c>
      <c r="I63" s="47">
        <f>J52</f>
        <v>3000</v>
      </c>
      <c r="J63" s="18" t="s">
        <v>82</v>
      </c>
      <c r="K63" s="47">
        <f>J53</f>
        <v>0</v>
      </c>
      <c r="L63" s="22" t="s">
        <v>83</v>
      </c>
      <c r="M63" s="1"/>
      <c r="Z63" s="58">
        <f>IF(U68=2,0,0)</f>
        <v>0</v>
      </c>
      <c r="AA63" s="58">
        <f>IF(U58=6,0,0)</f>
        <v>0</v>
      </c>
      <c r="AB63" s="58">
        <f>IF(SUM(U68*U58=8),0,1)</f>
        <v>1</v>
      </c>
      <c r="AC63" s="58"/>
      <c r="AD63" s="58">
        <f>IF(SUM(U58+U68=6),-1,0)</f>
        <v>0</v>
      </c>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150"/>
      <c r="C64" s="32" t="s">
        <v>35</v>
      </c>
      <c r="D64" s="32"/>
      <c r="E64" s="32"/>
      <c r="F64" s="48" t="s">
        <v>36</v>
      </c>
      <c r="G64" s="18"/>
      <c r="H64" s="18" t="s">
        <v>37</v>
      </c>
      <c r="I64" s="21"/>
      <c r="J64" s="49"/>
      <c r="K64" s="18"/>
      <c r="L64" s="22"/>
      <c r="M64" s="1"/>
      <c r="Z64" s="58">
        <f>SUM(Z58:Z63)</f>
        <v>0</v>
      </c>
      <c r="AA64" s="58">
        <f>SUM(AA58:AA63)</f>
        <v>-1</v>
      </c>
      <c r="AB64" s="58">
        <f>SUM(Z64:AA64)</f>
        <v>-1</v>
      </c>
      <c r="AC64" s="58"/>
      <c r="AD64" s="58"/>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137" t="s">
        <v>39</v>
      </c>
      <c r="F65" s="138"/>
      <c r="G65" s="137"/>
      <c r="H65" s="18" t="s">
        <v>40</v>
      </c>
      <c r="I65" s="50">
        <f>S78</f>
        <v>0</v>
      </c>
      <c r="J65" s="73" t="str">
        <f>J21</f>
        <v>Phase Conductor</v>
      </c>
      <c r="K65" s="18"/>
      <c r="L65" s="22"/>
      <c r="M65" s="1"/>
      <c r="P65" s="58"/>
      <c r="Q65" s="58"/>
      <c r="R65" s="58"/>
      <c r="S65" s="58"/>
      <c r="T65" s="58" t="s">
        <v>94</v>
      </c>
      <c r="U65" s="58">
        <f>U44</f>
        <v>1</v>
      </c>
      <c r="V65" s="58"/>
      <c r="W65" s="58"/>
      <c r="X65" s="58"/>
      <c r="Y65" s="58"/>
      <c r="Z65" s="58"/>
      <c r="AA65" s="58"/>
      <c r="AB65" s="59">
        <f>IF(U68=1,0,1)</f>
        <v>1</v>
      </c>
      <c r="AC65" s="58"/>
      <c r="AD65" s="58"/>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
        <v>43</v>
      </c>
      <c r="G66" s="18"/>
      <c r="H66" s="18" t="s">
        <v>44</v>
      </c>
      <c r="I66" s="76">
        <f>$V$39</f>
        <v>0</v>
      </c>
      <c r="J66" s="18" t="s">
        <v>45</v>
      </c>
      <c r="K66" s="18"/>
      <c r="L66" s="22"/>
      <c r="M66" s="1"/>
      <c r="P66" s="58"/>
      <c r="Q66" s="58"/>
      <c r="R66" s="58"/>
      <c r="S66" s="58"/>
      <c r="T66" s="58"/>
      <c r="U66" s="58"/>
      <c r="V66" s="58"/>
      <c r="W66" s="58"/>
      <c r="X66" s="58"/>
      <c r="Y66" s="58"/>
      <c r="Z66" s="58"/>
      <c r="AA66" s="58"/>
      <c r="AB66" s="58">
        <f>AD61</f>
        <v>0</v>
      </c>
      <c r="AC66" s="58"/>
      <c r="AD66" s="58"/>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52">
        <f>IF(I65=0,0,(V68*I62*I63)/(I64*I65*I66))</f>
        <v>0</v>
      </c>
      <c r="J67" s="18"/>
      <c r="K67" s="18"/>
      <c r="L67" s="22"/>
      <c r="M67" s="1"/>
      <c r="P67" s="58"/>
      <c r="Q67" s="58"/>
      <c r="R67" s="58"/>
      <c r="S67" s="58"/>
      <c r="T67" s="58" t="s">
        <v>95</v>
      </c>
      <c r="U67" s="58">
        <v>1</v>
      </c>
      <c r="V67" s="57" t="str">
        <f>CHOOSE(U67,"        2 x L x I","      1.732 x L x I")</f>
        <v xml:space="preserve">        2 x L x I</v>
      </c>
      <c r="W67" s="58" t="s">
        <v>87</v>
      </c>
      <c r="X67" s="58"/>
      <c r="Y67" s="58" t="str">
        <f>IF(U67=1,"Single Phase Branch","Three Phase Branch")</f>
        <v>Single Phase Branch</v>
      </c>
      <c r="Z67" s="58"/>
      <c r="AA67" s="58"/>
      <c r="AB67" s="67">
        <f>SUM(AD62:AD63)</f>
        <v>0</v>
      </c>
      <c r="AC67" s="58"/>
      <c r="AD67" s="58"/>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137" t="s">
        <v>49</v>
      </c>
      <c r="F68" s="138"/>
      <c r="G68" s="137"/>
      <c r="H68" s="18" t="s">
        <v>40</v>
      </c>
      <c r="I68" s="50">
        <f>T78</f>
        <v>0</v>
      </c>
      <c r="J68" s="73" t="str">
        <f>J24</f>
        <v>Neutral Conductor</v>
      </c>
      <c r="K68" s="18"/>
      <c r="L68" s="22"/>
      <c r="M68" s="1"/>
      <c r="P68" s="58"/>
      <c r="Q68" s="58"/>
      <c r="R68" s="58"/>
      <c r="S68" s="58"/>
      <c r="T68" s="58"/>
      <c r="U68" s="58"/>
      <c r="V68" s="58">
        <f>CHOOSE(U67,2,1.732)</f>
        <v>2</v>
      </c>
      <c r="W68" s="58" t="s">
        <v>88</v>
      </c>
      <c r="X68" s="58"/>
      <c r="Y68" s="58"/>
      <c r="Z68" s="58"/>
      <c r="AA68" s="58"/>
      <c r="AB68" s="67">
        <f>SUM(AB64:AB67)</f>
        <v>0</v>
      </c>
      <c r="AC68" s="58"/>
      <c r="AD68" s="58"/>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
        <v>53</v>
      </c>
      <c r="G69" s="18"/>
      <c r="H69" s="18" t="s">
        <v>54</v>
      </c>
      <c r="I69" s="76">
        <f>$V$38</f>
        <v>0</v>
      </c>
      <c r="J69" s="18" t="s">
        <v>45</v>
      </c>
      <c r="K69" s="18"/>
      <c r="L69" s="22"/>
      <c r="M69" s="1"/>
      <c r="P69" s="69">
        <v>1</v>
      </c>
      <c r="Q69" s="69"/>
      <c r="R69" s="69">
        <f>CHOOSE($P$69,0,Q$10,Q$11,Q$12,Q$13,Q$14,Q$15,Q$16,Q$17,Q$18,Q$19,Q$20,Q$21,Q$22,Q$23,Q$24,Q$25,Q$26,Q$27,Q$28,Q$29,Q$30)</f>
        <v>0</v>
      </c>
      <c r="S69" s="69">
        <f>CHOOSE($P$69,0,R10,R11,R12,R13,R14,R15,R16,R17,R18,R19,R20,R21,R22,R23,R24,R25,R26,R27,R28,R29,R30)</f>
        <v>0</v>
      </c>
      <c r="T69" s="77">
        <f>IF(O69,#REF!,0)</f>
        <v>0</v>
      </c>
      <c r="U69" s="69"/>
      <c r="V69" s="69"/>
      <c r="W69" s="69"/>
      <c r="X69" s="69">
        <f>CHOOSE($P$69,0,W10,W11,W12,W13,W14,W15,W16,W17,W18,W19,W20,W21,W22,W23,W24,W25,W26,W27,W28,W29,W30)</f>
        <v>0</v>
      </c>
      <c r="Y69" s="69">
        <f>CHOOSE($P$69,0,X10,X11,X12,X13,X14,X15,X16,X17,X18,X19,X20,X21,X22,X23,X24,X25,X26,X27,X28,X29,X30)</f>
        <v>0</v>
      </c>
      <c r="Z69" s="58"/>
      <c r="AA69" s="58"/>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6" t="s">
        <v>52</v>
      </c>
      <c r="C70" s="18"/>
      <c r="D70" s="18"/>
      <c r="E70" s="18"/>
      <c r="F70" s="18"/>
      <c r="G70" s="18"/>
      <c r="H70" s="18" t="s">
        <v>47</v>
      </c>
      <c r="I70" s="52">
        <f>IF(I68=0,0,(2*I62*K63)/(I64*I68*I69))</f>
        <v>0</v>
      </c>
      <c r="J70" s="18"/>
      <c r="K70" s="18"/>
      <c r="L70" s="22"/>
      <c r="M70" s="1"/>
      <c r="P70" s="58"/>
      <c r="Q70" s="58"/>
      <c r="R70" s="71">
        <f>SUM(R69+R72)/2</f>
        <v>0</v>
      </c>
      <c r="S70" s="71">
        <f>SUM(S69+S72)/2</f>
        <v>0</v>
      </c>
      <c r="T70" s="66">
        <f>IF(O70,#REF!,0)</f>
        <v>0</v>
      </c>
      <c r="U70" s="58"/>
      <c r="V70" s="58"/>
      <c r="W70" s="58"/>
      <c r="X70" s="71">
        <f>SUM(X69+X72)/2</f>
        <v>0</v>
      </c>
      <c r="Y70" s="71">
        <f>SUM(Y69+Y72)/2</f>
        <v>0</v>
      </c>
      <c r="Z70" s="58"/>
      <c r="AA70" s="58"/>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59"/>
      <c r="Q71" s="59"/>
      <c r="R71" s="59"/>
      <c r="S71" s="59"/>
      <c r="T71" s="78">
        <f>IF(O71,#REF!,0)</f>
        <v>0</v>
      </c>
      <c r="U71" s="59"/>
      <c r="V71" s="59"/>
      <c r="W71" s="59"/>
      <c r="X71" s="59"/>
      <c r="Y71" s="59"/>
      <c r="Z71" s="58"/>
      <c r="AA71" s="58"/>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2" t="s">
        <v>57</v>
      </c>
      <c r="D72" s="32"/>
      <c r="E72" s="32"/>
      <c r="F72" s="18" t="s">
        <v>60</v>
      </c>
      <c r="G72" s="19"/>
      <c r="H72" s="18" t="s">
        <v>61</v>
      </c>
      <c r="I72" s="52">
        <f>1/(1+I67)</f>
        <v>1</v>
      </c>
      <c r="J72" s="18"/>
      <c r="K72" s="18"/>
      <c r="L72" s="22"/>
      <c r="M72" s="1"/>
      <c r="P72" s="59">
        <v>1</v>
      </c>
      <c r="Q72" s="74" t="b">
        <v>0</v>
      </c>
      <c r="R72" s="59">
        <f>CHOOSE($P$72,0,Q$10,Q$11,Q$12,Q$13,Q$14,Q$15,Q$16,Q$17,Q$18,Q$19,Q$20,Q$21,Q$22,Q$23,Q$24,Q$25,Q$26,Q$27,Q$28,Q$29,Q$30)</f>
        <v>0</v>
      </c>
      <c r="S72" s="59">
        <f>CHOOSE($P$72,0,R$10,R$11,R$12,R$13,R$14,R$15,R$16,R$17,R$18,R$19,R$20,R$21,R$22,R$23,R$24,R$25,R$26,R$27,R$28,R$29,R$30)</f>
        <v>0</v>
      </c>
      <c r="T72" s="78">
        <f>IF(O72,#REF!,0)</f>
        <v>0</v>
      </c>
      <c r="U72" s="59"/>
      <c r="V72" s="59" t="s">
        <v>2</v>
      </c>
      <c r="W72" s="74" t="b">
        <v>0</v>
      </c>
      <c r="X72" s="59">
        <f>CHOOSE($P$72,0,W$10,W$11,W$12,W$13,W$14,W$15,W$16,W$17,W$18,W$19,W$20,W$21,W$22,W$23,W$24,W$25,W$26,W$27,W$28,W$29,W$30)</f>
        <v>0</v>
      </c>
      <c r="Y72" s="59">
        <f>CHOOSE($P$72,0,X$10,X$11,X$12,X$13,X$14,X$15,X$16,X$17,X$18,X$19,X$20,X$21,X$22,X$23,X$24,X$25,X$26,X$27,X$28,X$29,X$30)</f>
        <v>0</v>
      </c>
      <c r="Z72" s="58"/>
      <c r="AA72" s="58"/>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c r="A73" s="1"/>
      <c r="B73" s="26"/>
      <c r="C73" s="32" t="s">
        <v>59</v>
      </c>
      <c r="D73" s="32"/>
      <c r="E73" s="32"/>
      <c r="F73" s="19" t="s">
        <v>63</v>
      </c>
      <c r="G73" s="18"/>
      <c r="H73" s="18" t="s">
        <v>61</v>
      </c>
      <c r="I73" s="52">
        <f>1/(1+I70)</f>
        <v>1</v>
      </c>
      <c r="J73" s="18" t="s">
        <v>2</v>
      </c>
      <c r="K73" s="18"/>
      <c r="L73" s="22"/>
      <c r="M73" s="1"/>
      <c r="P73" s="58"/>
      <c r="Q73" s="58"/>
      <c r="R73" s="58"/>
      <c r="S73" s="58"/>
      <c r="T73" s="37">
        <f>IF(O73,S73,0)</f>
        <v>0</v>
      </c>
      <c r="U73" s="58"/>
      <c r="V73" s="58"/>
      <c r="W73" s="58"/>
      <c r="X73" s="58"/>
      <c r="Y73" s="58"/>
      <c r="Z73" s="58"/>
      <c r="AA73" s="58"/>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c r="A74" s="1"/>
      <c r="B74" s="26"/>
      <c r="C74" s="18"/>
      <c r="D74" s="18"/>
      <c r="E74" s="18"/>
      <c r="F74" s="18"/>
      <c r="G74" s="18"/>
      <c r="H74" s="18"/>
      <c r="I74" s="18"/>
      <c r="J74" s="18"/>
      <c r="K74" s="19"/>
      <c r="L74" s="22"/>
      <c r="M74" s="1"/>
      <c r="P74" s="58">
        <v>1</v>
      </c>
      <c r="Q74" s="58"/>
      <c r="R74" s="57" t="s">
        <v>70</v>
      </c>
      <c r="S74" s="57">
        <f>IF(P74=2,R72,0)</f>
        <v>0</v>
      </c>
      <c r="T74" s="57">
        <f>IF(P74=2,R70,0)</f>
        <v>0</v>
      </c>
      <c r="U74" s="58"/>
      <c r="V74" s="58"/>
      <c r="W74" s="57" t="str">
        <f>IF(Y80,Y67,"Error Single Phase Feeder")</f>
        <v>Single Phase Branch</v>
      </c>
      <c r="X74" s="57"/>
      <c r="Y74" s="57"/>
      <c r="Z74" s="58"/>
      <c r="AA74" s="58"/>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139" t="s">
        <v>89</v>
      </c>
      <c r="C75" s="140"/>
      <c r="D75" s="140"/>
      <c r="E75" s="140"/>
      <c r="F75" s="140"/>
      <c r="G75" s="140"/>
      <c r="H75" s="18"/>
      <c r="I75" s="18"/>
      <c r="J75" s="55">
        <f>I63*I72</f>
        <v>3000</v>
      </c>
      <c r="K75" s="32" t="s">
        <v>27</v>
      </c>
      <c r="L75" s="22"/>
      <c r="M75" s="1"/>
      <c r="P75" s="58"/>
      <c r="Q75" s="58"/>
      <c r="R75" s="57" t="s">
        <v>72</v>
      </c>
      <c r="S75" s="57">
        <f>IF(P74=3,S72,0)</f>
        <v>0</v>
      </c>
      <c r="T75" s="57">
        <f>IF(P74=3,S70,0)</f>
        <v>0</v>
      </c>
      <c r="U75" s="58"/>
      <c r="V75" s="58"/>
      <c r="W75" s="57" t="s">
        <v>2</v>
      </c>
      <c r="X75" s="57"/>
      <c r="Y75" s="57"/>
      <c r="Z75" s="58"/>
      <c r="AA75" s="58"/>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139" t="s">
        <v>90</v>
      </c>
      <c r="C76" s="140"/>
      <c r="D76" s="140"/>
      <c r="E76" s="140"/>
      <c r="F76" s="140"/>
      <c r="G76" s="140"/>
      <c r="H76" s="18"/>
      <c r="I76" s="18"/>
      <c r="J76" s="55">
        <f>K63*I73*P35</f>
        <v>0</v>
      </c>
      <c r="K76" s="32" t="s">
        <v>27</v>
      </c>
      <c r="L76" s="22"/>
      <c r="M76" s="1"/>
      <c r="P76" s="58"/>
      <c r="Q76" s="58"/>
      <c r="R76" s="58" t="s">
        <v>74</v>
      </c>
      <c r="S76" s="57">
        <f>IF(P74=4,X72,0)</f>
        <v>0</v>
      </c>
      <c r="T76" s="57">
        <f>IF(P74=4,X70,0)</f>
        <v>0</v>
      </c>
      <c r="U76" s="58"/>
      <c r="V76" s="58"/>
      <c r="W76" s="57" t="b">
        <f>IF(U67=1,TRUE,FALSE)</f>
        <v>1</v>
      </c>
      <c r="X76" s="57" t="s">
        <v>2</v>
      </c>
      <c r="Y76" s="57">
        <f>SUM(Y78:Y79)</f>
        <v>0</v>
      </c>
      <c r="Z76" s="58"/>
      <c r="AA76" s="58"/>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58"/>
      <c r="Q77" s="58"/>
      <c r="R77" s="58" t="s">
        <v>78</v>
      </c>
      <c r="S77" s="57">
        <f>IF(P74=5,Y72,0)</f>
        <v>0</v>
      </c>
      <c r="T77" s="57">
        <f>IF(P74=5,Y70,0)</f>
        <v>0</v>
      </c>
      <c r="U77" s="58"/>
      <c r="V77" s="58"/>
      <c r="W77" s="57" t="b">
        <f>IF(U44=2,TRUE,FALSE)</f>
        <v>0</v>
      </c>
      <c r="X77" s="66"/>
      <c r="Y77" s="66"/>
      <c r="Z77" s="58"/>
      <c r="AA77" s="58"/>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141" t="s">
        <v>91</v>
      </c>
      <c r="D78" s="142"/>
      <c r="E78" s="142"/>
      <c r="F78" s="142"/>
      <c r="G78" s="142"/>
      <c r="H78" s="142"/>
      <c r="I78" s="142"/>
      <c r="J78" s="142"/>
      <c r="K78" s="143"/>
      <c r="L78" s="22"/>
      <c r="M78" s="1"/>
      <c r="P78" s="58"/>
      <c r="Q78" s="58"/>
      <c r="R78" s="58"/>
      <c r="S78" s="71">
        <f>SUM(S74:S77)</f>
        <v>0</v>
      </c>
      <c r="T78" s="71">
        <f>SUM(T74:T77)</f>
        <v>0</v>
      </c>
      <c r="U78" s="58"/>
      <c r="V78" s="58"/>
      <c r="W78" s="58">
        <f>IF(SUM(U65+$U$67=2),-1,0)</f>
        <v>-1</v>
      </c>
      <c r="X78" s="58">
        <f>IF(U67+U65=4,1,0)</f>
        <v>0</v>
      </c>
      <c r="Y78" s="58">
        <f>SUM(W78:X78)</f>
        <v>-1</v>
      </c>
      <c r="Z78" s="58"/>
      <c r="AA78" s="58"/>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60"/>
      <c r="C79" s="61"/>
      <c r="D79" s="61"/>
      <c r="E79" s="61"/>
      <c r="F79" s="61"/>
      <c r="G79" s="61"/>
      <c r="H79" s="61"/>
      <c r="I79" s="61"/>
      <c r="J79" s="61"/>
      <c r="K79" s="61"/>
      <c r="L79" s="62"/>
      <c r="M79" s="1"/>
      <c r="P79" s="58"/>
      <c r="Q79" s="58"/>
      <c r="R79" s="58"/>
      <c r="S79" s="58"/>
      <c r="T79" s="58"/>
      <c r="U79" s="58"/>
      <c r="V79" s="58"/>
      <c r="W79" s="58">
        <f>IF(SUM(U65=2),-1,0)</f>
        <v>0</v>
      </c>
      <c r="X79" s="58">
        <f>IF(U67=1,1,0)</f>
        <v>1</v>
      </c>
      <c r="Y79" s="58">
        <f>SUM(W79:X79)</f>
        <v>1</v>
      </c>
      <c r="Z79" s="58"/>
      <c r="AA79" s="58"/>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8"/>
      <c r="Q80" s="58"/>
      <c r="R80" s="58"/>
      <c r="S80" s="58"/>
      <c r="T80" s="58"/>
      <c r="U80" s="58"/>
      <c r="V80" s="58"/>
      <c r="W80" s="58">
        <f>IF(SUM(U67=2),0,-1)</f>
        <v>-1</v>
      </c>
      <c r="X80" s="58">
        <f>IF(U65=1,1,0)</f>
        <v>1</v>
      </c>
      <c r="Y80" s="58" t="b">
        <f>IF(X82=0,TRUE,FALSE)</f>
        <v>1</v>
      </c>
      <c r="Z80" s="58">
        <f>SUM(Y76+X80)</f>
        <v>1</v>
      </c>
      <c r="AA80" s="58"/>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8"/>
      <c r="Q81" s="58"/>
      <c r="R81" s="58"/>
      <c r="S81" s="58"/>
      <c r="T81" s="58"/>
      <c r="U81" s="58"/>
      <c r="V81" s="58"/>
      <c r="W81" s="58"/>
      <c r="X81" s="58"/>
      <c r="Y81" s="58"/>
      <c r="Z81" s="58">
        <f>SUM(Z80+W80)</f>
        <v>0</v>
      </c>
      <c r="AA81" s="58"/>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8"/>
      <c r="Q82" s="58"/>
      <c r="R82" s="58"/>
      <c r="S82" s="58"/>
      <c r="T82" s="58"/>
      <c r="U82" s="58"/>
      <c r="V82" s="58"/>
      <c r="W82" s="58"/>
      <c r="X82" s="58">
        <f>IF(U67=1,Y76,Z80)</f>
        <v>0</v>
      </c>
      <c r="Y82" s="58"/>
      <c r="Z82" s="58"/>
      <c r="AA82" s="58"/>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password="C39E" sheet="1" objects="1" scenarios="1"/>
  <customSheetViews>
    <customSheetView guid="{53803D8B-0A9B-4271-B690-B5F9FC4E36BE}" showRuler="0">
      <selection activeCell="G11" sqref="G11"/>
      <pageMargins left="0.75" right="0.75" top="1" bottom="1" header="0.5" footer="0.5"/>
      <pageSetup orientation="portrait" horizontalDpi="300" verticalDpi="300" r:id="rId1"/>
      <headerFooter alignWithMargins="0"/>
    </customSheetView>
    <customSheetView guid="{82DFEA4E-A735-471A-8B59-472DB22D5406}" showRuler="0">
      <selection activeCell="G11" sqref="G11"/>
      <pageMargins left="0.75" right="0.75" top="1" bottom="1" header="0.5" footer="0.5"/>
      <pageSetup orientation="portrait" horizontalDpi="300" verticalDpi="300" r:id="rId2"/>
      <headerFooter alignWithMargins="0"/>
    </customSheetView>
    <customSheetView guid="{2FCC383C-10EF-41F0-858D-505CF08BB01B}" showRuler="0">
      <selection activeCell="G11" sqref="G11"/>
      <pageMargins left="0.75" right="0.75" top="1" bottom="1" header="0.5" footer="0.5"/>
      <pageSetup orientation="portrait" horizontalDpi="300" verticalDpi="300" r:id="rId3"/>
      <headerFooter alignWithMargins="0"/>
    </customSheetView>
    <customSheetView guid="{9711F06F-B5CC-4033-8AB3-0E7E6F635E5F}" showRuler="0">
      <selection activeCell="G11" sqref="G11"/>
      <pageMargins left="0.75" right="0.75" top="1" bottom="1" header="0.5" footer="0.5"/>
      <pageSetup orientation="portrait" horizontalDpi="300" verticalDpi="300" r:id="rId4"/>
      <headerFooter alignWithMargins="0"/>
    </customSheetView>
    <customSheetView guid="{DB365FA4-8D94-49CF-B333-8C6A4783853B}" showRuler="0">
      <selection activeCell="G11" sqref="G11"/>
      <pageMargins left="0.75" right="0.75" top="1" bottom="1" header="0.5" footer="0.5"/>
      <pageSetup orientation="portrait" horizontalDpi="300" verticalDpi="300" r:id="rId5"/>
      <headerFooter alignWithMargins="0"/>
    </customSheetView>
  </customSheetViews>
  <mergeCells count="28">
    <mergeCell ref="B19:B20"/>
    <mergeCell ref="C2:K2"/>
    <mergeCell ref="C4:K4"/>
    <mergeCell ref="B6:L6"/>
    <mergeCell ref="B11:C11"/>
    <mergeCell ref="E13:E14"/>
    <mergeCell ref="B52:G52"/>
    <mergeCell ref="E21:G21"/>
    <mergeCell ref="J21:K21"/>
    <mergeCell ref="F22:G22"/>
    <mergeCell ref="E24:G24"/>
    <mergeCell ref="J24:K24"/>
    <mergeCell ref="F25:G25"/>
    <mergeCell ref="D37:I37"/>
    <mergeCell ref="B39:E39"/>
    <mergeCell ref="B40:B41"/>
    <mergeCell ref="E42:G42"/>
    <mergeCell ref="E45:G45"/>
    <mergeCell ref="E68:G68"/>
    <mergeCell ref="B75:G75"/>
    <mergeCell ref="B76:G76"/>
    <mergeCell ref="C78:K78"/>
    <mergeCell ref="B53:G53"/>
    <mergeCell ref="C55:K55"/>
    <mergeCell ref="E60:I60"/>
    <mergeCell ref="B62:E62"/>
    <mergeCell ref="B63:B64"/>
    <mergeCell ref="E65:G65"/>
  </mergeCells>
  <phoneticPr fontId="17" type="noConversion"/>
  <dataValidations count="1">
    <dataValidation type="custom" allowBlank="1" showInputMessage="1" showErrorMessage="1" error="You have selected a three phase feeder,_x000a__x000a_Check above for selected Voltage &amp; Phase " promptTitle="single phase feeder" sqref="W54 W77" xr:uid="{00000000-0002-0000-0000-000000000000}">
      <formula1>IF(W53=TRUE,TRUE,FALSE)</formula1>
    </dataValidation>
  </dataValidations>
  <pageMargins left="0.75" right="0.75" top="1" bottom="1" header="0.5" footer="0.5"/>
  <pageSetup orientation="portrait" horizontalDpi="300" verticalDpi="300"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Fill="0" autoLine="0" autoPict="0">
                <anchor moveWithCells="1">
                  <from>
                    <xdr:col>10</xdr:col>
                    <xdr:colOff>541020</xdr:colOff>
                    <xdr:row>19</xdr:row>
                    <xdr:rowOff>144780</xdr:rowOff>
                  </from>
                  <to>
                    <xdr:col>11</xdr:col>
                    <xdr:colOff>670560</xdr:colOff>
                    <xdr:row>21</xdr:row>
                    <xdr:rowOff>0</xdr:rowOff>
                  </to>
                </anchor>
              </controlPr>
            </control>
          </mc:Choice>
        </mc:AlternateContent>
        <mc:AlternateContent xmlns:mc="http://schemas.openxmlformats.org/markup-compatibility/2006">
          <mc:Choice Requires="x14">
            <control shapeId="1026" r:id="rId10" name="Drop Down 2">
              <controlPr locked="0" defaultSize="0" autoFill="0" autoLine="0" autoPict="0">
                <anchor moveWithCells="1">
                  <from>
                    <xdr:col>10</xdr:col>
                    <xdr:colOff>563880</xdr:colOff>
                    <xdr:row>40</xdr:row>
                    <xdr:rowOff>160020</xdr:rowOff>
                  </from>
                  <to>
                    <xdr:col>11</xdr:col>
                    <xdr:colOff>670560</xdr:colOff>
                    <xdr:row>42</xdr:row>
                    <xdr:rowOff>22860</xdr:rowOff>
                  </to>
                </anchor>
              </controlPr>
            </control>
          </mc:Choice>
        </mc:AlternateContent>
        <mc:AlternateContent xmlns:mc="http://schemas.openxmlformats.org/markup-compatibility/2006">
          <mc:Choice Requires="x14">
            <control shapeId="1027" r:id="rId11" name="Drop Down 3">
              <controlPr locked="0" defaultSize="0" autoFill="0" autoLine="0" autoPict="0">
                <anchor moveWithCells="1">
                  <from>
                    <xdr:col>9</xdr:col>
                    <xdr:colOff>76200</xdr:colOff>
                    <xdr:row>16</xdr:row>
                    <xdr:rowOff>160020</xdr:rowOff>
                  </from>
                  <to>
                    <xdr:col>11</xdr:col>
                    <xdr:colOff>655320</xdr:colOff>
                    <xdr:row>18</xdr:row>
                    <xdr:rowOff>22860</xdr:rowOff>
                  </to>
                </anchor>
              </controlPr>
            </control>
          </mc:Choice>
        </mc:AlternateContent>
        <mc:AlternateContent xmlns:mc="http://schemas.openxmlformats.org/markup-compatibility/2006">
          <mc:Choice Requires="x14">
            <control shapeId="1028" r:id="rId12" name="Drop Down 4">
              <controlPr locked="0" defaultSize="0" autoFill="0" autoLine="0" autoPict="0">
                <anchor moveWithCells="1">
                  <from>
                    <xdr:col>9</xdr:col>
                    <xdr:colOff>83820</xdr:colOff>
                    <xdr:row>35</xdr:row>
                    <xdr:rowOff>152400</xdr:rowOff>
                  </from>
                  <to>
                    <xdr:col>11</xdr:col>
                    <xdr:colOff>670560</xdr:colOff>
                    <xdr:row>37</xdr:row>
                    <xdr:rowOff>7620</xdr:rowOff>
                  </to>
                </anchor>
              </controlPr>
            </control>
          </mc:Choice>
        </mc:AlternateContent>
        <mc:AlternateContent xmlns:mc="http://schemas.openxmlformats.org/markup-compatibility/2006">
          <mc:Choice Requires="x14">
            <control shapeId="1033" r:id="rId13" name="Drop Down 9">
              <controlPr locked="0" defaultSize="0" autoFill="0" autoLine="0" autoPict="0">
                <anchor moveWithCells="1">
                  <from>
                    <xdr:col>9</xdr:col>
                    <xdr:colOff>76200</xdr:colOff>
                    <xdr:row>15</xdr:row>
                    <xdr:rowOff>99060</xdr:rowOff>
                  </from>
                  <to>
                    <xdr:col>11</xdr:col>
                    <xdr:colOff>655320</xdr:colOff>
                    <xdr:row>16</xdr:row>
                    <xdr:rowOff>121920</xdr:rowOff>
                  </to>
                </anchor>
              </controlPr>
            </control>
          </mc:Choice>
        </mc:AlternateContent>
        <mc:AlternateContent xmlns:mc="http://schemas.openxmlformats.org/markup-compatibility/2006">
          <mc:Choice Requires="x14">
            <control shapeId="1034" r:id="rId14" name="Drop Down 10">
              <controlPr locked="0" defaultSize="0" autoFill="0" autoLine="0" autoPict="0">
                <anchor moveWithCells="1">
                  <from>
                    <xdr:col>10</xdr:col>
                    <xdr:colOff>541020</xdr:colOff>
                    <xdr:row>22</xdr:row>
                    <xdr:rowOff>160020</xdr:rowOff>
                  </from>
                  <to>
                    <xdr:col>11</xdr:col>
                    <xdr:colOff>670560</xdr:colOff>
                    <xdr:row>24</xdr:row>
                    <xdr:rowOff>22860</xdr:rowOff>
                  </to>
                </anchor>
              </controlPr>
            </control>
          </mc:Choice>
        </mc:AlternateContent>
        <mc:AlternateContent xmlns:mc="http://schemas.openxmlformats.org/markup-compatibility/2006">
          <mc:Choice Requires="x14">
            <control shapeId="1035" r:id="rId15" name="Drop Down 11">
              <controlPr locked="0" defaultSize="0" autoFill="0" autoLine="0" autoPict="0">
                <anchor moveWithCells="1">
                  <from>
                    <xdr:col>10</xdr:col>
                    <xdr:colOff>563880</xdr:colOff>
                    <xdr:row>43</xdr:row>
                    <xdr:rowOff>144780</xdr:rowOff>
                  </from>
                  <to>
                    <xdr:col>11</xdr:col>
                    <xdr:colOff>670560</xdr:colOff>
                    <xdr:row>45</xdr:row>
                    <xdr:rowOff>0</xdr:rowOff>
                  </to>
                </anchor>
              </controlPr>
            </control>
          </mc:Choice>
        </mc:AlternateContent>
        <mc:AlternateContent xmlns:mc="http://schemas.openxmlformats.org/markup-compatibility/2006">
          <mc:Choice Requires="x14">
            <control shapeId="1038" r:id="rId16" name="Drop Down 14">
              <controlPr locked="0" defaultSize="0" autoFill="0" autoLine="0" autoPict="0">
                <anchor moveWithCells="1">
                  <from>
                    <xdr:col>10</xdr:col>
                    <xdr:colOff>388620</xdr:colOff>
                    <xdr:row>37</xdr:row>
                    <xdr:rowOff>22860</xdr:rowOff>
                  </from>
                  <to>
                    <xdr:col>11</xdr:col>
                    <xdr:colOff>670560</xdr:colOff>
                    <xdr:row>38</xdr:row>
                    <xdr:rowOff>45720</xdr:rowOff>
                  </to>
                </anchor>
              </controlPr>
            </control>
          </mc:Choice>
        </mc:AlternateContent>
        <mc:AlternateContent xmlns:mc="http://schemas.openxmlformats.org/markup-compatibility/2006">
          <mc:Choice Requires="x14">
            <control shapeId="1039" r:id="rId17" name="Drop Down 15">
              <controlPr locked="0" defaultSize="0" autoFill="0" autoLine="0" autoPict="0">
                <anchor moveWithCells="1">
                  <from>
                    <xdr:col>10</xdr:col>
                    <xdr:colOff>563880</xdr:colOff>
                    <xdr:row>63</xdr:row>
                    <xdr:rowOff>160020</xdr:rowOff>
                  </from>
                  <to>
                    <xdr:col>11</xdr:col>
                    <xdr:colOff>678180</xdr:colOff>
                    <xdr:row>65</xdr:row>
                    <xdr:rowOff>7620</xdr:rowOff>
                  </to>
                </anchor>
              </controlPr>
            </control>
          </mc:Choice>
        </mc:AlternateContent>
        <mc:AlternateContent xmlns:mc="http://schemas.openxmlformats.org/markup-compatibility/2006">
          <mc:Choice Requires="x14">
            <control shapeId="1040" r:id="rId18" name="Drop Down 16">
              <controlPr locked="0" defaultSize="0" autoFill="0" autoLine="0" autoPict="0">
                <anchor moveWithCells="1">
                  <from>
                    <xdr:col>9</xdr:col>
                    <xdr:colOff>83820</xdr:colOff>
                    <xdr:row>58</xdr:row>
                    <xdr:rowOff>152400</xdr:rowOff>
                  </from>
                  <to>
                    <xdr:col>11</xdr:col>
                    <xdr:colOff>678180</xdr:colOff>
                    <xdr:row>59</xdr:row>
                    <xdr:rowOff>175260</xdr:rowOff>
                  </to>
                </anchor>
              </controlPr>
            </control>
          </mc:Choice>
        </mc:AlternateContent>
        <mc:AlternateContent xmlns:mc="http://schemas.openxmlformats.org/markup-compatibility/2006">
          <mc:Choice Requires="x14">
            <control shapeId="1043" r:id="rId19" name="Drop Down 19">
              <controlPr locked="0" defaultSize="0" autoFill="0" autoLine="0" autoPict="0">
                <anchor moveWithCells="1">
                  <from>
                    <xdr:col>10</xdr:col>
                    <xdr:colOff>563880</xdr:colOff>
                    <xdr:row>66</xdr:row>
                    <xdr:rowOff>144780</xdr:rowOff>
                  </from>
                  <to>
                    <xdr:col>11</xdr:col>
                    <xdr:colOff>678180</xdr:colOff>
                    <xdr:row>67</xdr:row>
                    <xdr:rowOff>175260</xdr:rowOff>
                  </to>
                </anchor>
              </controlPr>
            </control>
          </mc:Choice>
        </mc:AlternateContent>
        <mc:AlternateContent xmlns:mc="http://schemas.openxmlformats.org/markup-compatibility/2006">
          <mc:Choice Requires="x14">
            <control shapeId="1045" r:id="rId20" name="Drop Down 21">
              <controlPr locked="0" defaultSize="0" autoFill="0" autoLine="0" autoPict="0">
                <anchor moveWithCells="1">
                  <from>
                    <xdr:col>10</xdr:col>
                    <xdr:colOff>388620</xdr:colOff>
                    <xdr:row>60</xdr:row>
                    <xdr:rowOff>83820</xdr:rowOff>
                  </from>
                  <to>
                    <xdr:col>11</xdr:col>
                    <xdr:colOff>678180</xdr:colOff>
                    <xdr:row>61</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3"/>
  <sheetViews>
    <sheetView tabSelected="1" showRuler="0" topLeftCell="A37" zoomScale="130" zoomScaleNormal="130" workbookViewId="0">
      <selection activeCell="I64" sqref="I64"/>
    </sheetView>
  </sheetViews>
  <sheetFormatPr defaultColWidth="0" defaultRowHeight="13.2" zeroHeight="1"/>
  <cols>
    <col min="1" max="1" width="2.88671875" customWidth="1"/>
    <col min="2" max="2" width="9.88671875" customWidth="1"/>
    <col min="3" max="3" width="9.5546875" customWidth="1"/>
    <col min="4" max="4" width="4.88671875" customWidth="1"/>
    <col min="5" max="5" width="7.88671875" customWidth="1"/>
    <col min="6" max="8" width="9.109375" customWidth="1"/>
    <col min="9" max="9" width="9.33203125" customWidth="1"/>
    <col min="10" max="11" width="9.109375" customWidth="1"/>
    <col min="12" max="12" width="11.44140625" customWidth="1"/>
    <col min="13" max="13" width="2.109375" customWidth="1"/>
    <col min="14" max="14" width="1.6640625" hidden="1" customWidth="1"/>
    <col min="15" max="15" width="3" hidden="1" customWidth="1"/>
    <col min="16" max="16" width="9.6640625" hidden="1" customWidth="1"/>
    <col min="17" max="17" width="8" hidden="1" customWidth="1"/>
    <col min="18" max="18" width="8.33203125" hidden="1" customWidth="1"/>
    <col min="19" max="19" width="7.33203125" hidden="1" customWidth="1"/>
    <col min="20" max="20" width="9.109375" hidden="1" customWidth="1"/>
    <col min="21" max="21" width="3" hidden="1" customWidth="1"/>
    <col min="22" max="22" width="12.5546875" hidden="1" customWidth="1"/>
    <col min="23" max="23" width="7.44140625" hidden="1" customWidth="1"/>
    <col min="24" max="24" width="8" hidden="1" customWidth="1"/>
    <col min="25" max="25" width="9" hidden="1" customWidth="1"/>
    <col min="26" max="26" width="9.109375" hidden="1" customWidth="1"/>
    <col min="27" max="27" width="4.44140625" hidden="1" customWidth="1"/>
    <col min="28" max="28" width="7.6640625" hidden="1" customWidth="1"/>
    <col min="29" max="29" width="15.44140625" hidden="1" customWidth="1"/>
    <col min="30" max="30" width="4.109375" hidden="1" customWidth="1"/>
    <col min="31" max="36" width="9.109375" hidden="1" customWidth="1"/>
    <col min="37" max="37" width="1.88671875" hidden="1" customWidth="1"/>
    <col min="38" max="38" width="9.109375" hidden="1" customWidth="1"/>
    <col min="39" max="39" width="8.5546875" hidden="1" customWidth="1"/>
    <col min="40" max="40" width="9.109375" hidden="1" customWidth="1"/>
    <col min="41" max="41" width="2" hidden="1" customWidth="1"/>
    <col min="42" max="42" width="9.109375" hidden="1" customWidth="1"/>
    <col min="43" max="43" width="1.88671875" hidden="1" customWidth="1"/>
    <col min="44" max="46" width="9.109375" hidden="1" customWidth="1"/>
    <col min="47" max="47" width="1.5546875" hidden="1" customWidth="1"/>
    <col min="48" max="54" width="9.109375" hidden="1" customWidth="1"/>
    <col min="55" max="55" width="1.33203125" customWidth="1"/>
    <col min="56" max="56" width="10.6640625" customWidth="1"/>
    <col min="57" max="58" width="9.109375" customWidth="1"/>
    <col min="59" max="59" width="2.5546875" customWidth="1"/>
    <col min="60" max="60" width="3.33203125" customWidth="1"/>
    <col min="61" max="61" width="2.33203125" customWidth="1"/>
    <col min="62" max="62" width="10.6640625" customWidth="1"/>
    <col min="63" max="64" width="9.109375" customWidth="1"/>
    <col min="65" max="65" width="2.6640625" customWidth="1"/>
    <col min="66" max="117" width="9.109375" hidden="1" customWidth="1"/>
    <col min="118" max="118" width="8.6640625" style="2" customWidth="1"/>
    <col min="119" max="119" width="6.6640625" style="2" customWidth="1"/>
    <col min="120" max="138" width="9.109375" style="2" customWidth="1"/>
    <col min="139" max="156" width="9.109375" hidden="1" customWidth="1"/>
    <col min="157" max="158" width="9.109375" customWidth="1"/>
    <col min="159" max="240" width="9.109375" hidden="1" customWidth="1"/>
    <col min="241" max="242" width="9.109375" style="2" hidden="1" customWidth="1"/>
    <col min="243" max="243" width="9.109375" hidden="1" customWidth="1"/>
    <col min="244" max="246" width="9.109375" style="19" hidden="1" customWidth="1"/>
    <col min="247" max="16384" width="9.109375" hidden="1"/>
  </cols>
  <sheetData>
    <row r="1" spans="1:256" ht="6.75" customHeight="1">
      <c r="A1" s="1"/>
      <c r="B1" s="1"/>
      <c r="C1" s="1"/>
      <c r="D1" s="1"/>
      <c r="E1" s="1"/>
      <c r="F1" s="1"/>
      <c r="G1" s="1"/>
      <c r="H1" s="1"/>
      <c r="I1" s="1"/>
      <c r="J1" s="1"/>
      <c r="K1" s="1"/>
      <c r="L1" s="1"/>
      <c r="M1" s="1"/>
      <c r="AK1" s="109"/>
      <c r="AL1" s="109"/>
      <c r="AM1" s="109"/>
      <c r="AN1" s="109"/>
      <c r="AO1" s="109"/>
      <c r="AP1" s="109"/>
      <c r="AQ1" s="109"/>
      <c r="AR1" s="109"/>
      <c r="AS1" s="109"/>
      <c r="AT1" s="109"/>
      <c r="AU1" s="109"/>
      <c r="BC1" s="109"/>
      <c r="BD1" s="109"/>
      <c r="BE1" s="109"/>
      <c r="BF1" s="109"/>
      <c r="BG1" s="109"/>
      <c r="BH1" s="109"/>
      <c r="BI1" s="109"/>
      <c r="BJ1" s="109"/>
      <c r="BK1" s="109"/>
      <c r="BL1" s="109"/>
      <c r="BM1" s="109"/>
      <c r="BN1" s="109"/>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159" t="s">
        <v>133</v>
      </c>
      <c r="D2" s="160"/>
      <c r="E2" s="160"/>
      <c r="F2" s="160"/>
      <c r="G2" s="162"/>
      <c r="H2" s="160"/>
      <c r="I2" s="160"/>
      <c r="J2" s="160"/>
      <c r="K2" s="161"/>
      <c r="L2" s="1"/>
      <c r="M2" s="1"/>
      <c r="AK2" s="109"/>
      <c r="AL2" s="109"/>
      <c r="AM2" s="109"/>
      <c r="AN2" s="109"/>
      <c r="AO2" s="109"/>
      <c r="AP2" s="109"/>
      <c r="AQ2" s="109"/>
      <c r="AR2" s="109"/>
      <c r="AS2" s="109"/>
      <c r="AT2" s="109"/>
      <c r="AU2" s="109"/>
      <c r="BC2" s="109"/>
      <c r="BD2" s="109"/>
      <c r="BE2" s="109"/>
      <c r="BF2" s="109"/>
      <c r="BG2" s="109"/>
      <c r="BH2" s="109"/>
      <c r="BI2" s="109"/>
      <c r="BJ2" s="109"/>
      <c r="BK2" s="109"/>
      <c r="BL2" s="109"/>
      <c r="BM2" s="109"/>
      <c r="BN2" s="109"/>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AK3" s="109"/>
      <c r="AL3" s="109"/>
      <c r="AM3" s="109"/>
      <c r="AN3" s="109"/>
      <c r="AO3" s="109"/>
      <c r="AP3" s="109"/>
      <c r="AQ3" s="109"/>
      <c r="AR3" s="109"/>
      <c r="AS3" s="109"/>
      <c r="AT3" s="109"/>
      <c r="AU3" s="109"/>
      <c r="BC3" s="109"/>
      <c r="BD3" s="109"/>
      <c r="BE3" s="109"/>
      <c r="BF3" s="109"/>
      <c r="BG3" s="109"/>
      <c r="BH3" s="109"/>
      <c r="BI3" s="109"/>
      <c r="BJ3" s="109"/>
      <c r="BK3" s="109"/>
      <c r="BL3" s="109"/>
      <c r="BM3" s="109"/>
      <c r="BN3" s="109"/>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159" t="s">
        <v>134</v>
      </c>
      <c r="D4" s="160"/>
      <c r="E4" s="160"/>
      <c r="F4" s="160"/>
      <c r="G4" s="162"/>
      <c r="H4" s="160"/>
      <c r="I4" s="160"/>
      <c r="J4" s="160"/>
      <c r="K4" s="161"/>
      <c r="L4" s="1"/>
      <c r="M4" s="1"/>
      <c r="AK4" s="109"/>
      <c r="AL4" s="109"/>
      <c r="AM4" s="109"/>
      <c r="AN4" s="109"/>
      <c r="AO4" s="109"/>
      <c r="AP4" s="109"/>
      <c r="AQ4" s="109"/>
      <c r="AR4" s="109"/>
      <c r="AS4" s="109"/>
      <c r="AT4" s="109"/>
      <c r="AU4" s="109"/>
      <c r="BC4" s="109"/>
      <c r="BD4" s="109"/>
      <c r="BE4" s="109"/>
      <c r="BF4" s="109"/>
      <c r="BG4" s="109"/>
      <c r="BH4" s="109"/>
      <c r="BI4" s="109"/>
      <c r="BJ4" s="109"/>
      <c r="BK4" s="109"/>
      <c r="BL4" s="109"/>
      <c r="BM4" s="109"/>
      <c r="BN4" s="109"/>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AK5" s="109"/>
      <c r="AL5" s="109"/>
      <c r="AM5" s="109"/>
      <c r="AN5" s="109"/>
      <c r="AO5" s="109"/>
      <c r="AP5" s="109"/>
      <c r="AQ5" s="109"/>
      <c r="AR5" s="109"/>
      <c r="AS5" s="109"/>
      <c r="AT5" s="109"/>
      <c r="AU5" s="109"/>
      <c r="BC5" s="109"/>
      <c r="BD5" s="109"/>
      <c r="BE5" s="109"/>
      <c r="BF5" s="109"/>
      <c r="BG5" s="109"/>
      <c r="BH5" s="109"/>
      <c r="BI5" s="109"/>
      <c r="BJ5" s="109"/>
      <c r="BK5" s="109"/>
      <c r="BL5" s="109"/>
      <c r="BM5" s="109"/>
      <c r="BN5" s="109"/>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3.4" thickBot="1">
      <c r="A6" s="5"/>
      <c r="B6" s="188" t="s">
        <v>1</v>
      </c>
      <c r="C6" s="189"/>
      <c r="D6" s="189"/>
      <c r="E6" s="189"/>
      <c r="F6" s="189"/>
      <c r="G6" s="189"/>
      <c r="H6" s="189"/>
      <c r="I6" s="189"/>
      <c r="J6" s="189"/>
      <c r="K6" s="189"/>
      <c r="L6" s="190"/>
      <c r="M6" s="1"/>
      <c r="AK6" s="109"/>
      <c r="AL6" s="109"/>
      <c r="AM6" s="109"/>
      <c r="AN6" s="109"/>
      <c r="AO6" s="109"/>
      <c r="AP6" s="109"/>
      <c r="AQ6" s="109"/>
      <c r="AR6" s="109"/>
      <c r="AS6" s="109"/>
      <c r="AT6" s="109"/>
      <c r="AU6" s="109"/>
      <c r="BC6" s="109"/>
      <c r="BD6" s="109"/>
      <c r="BE6" s="109"/>
      <c r="BF6" s="109"/>
      <c r="BG6" s="109"/>
      <c r="BH6" s="109"/>
      <c r="BI6" s="109"/>
      <c r="BJ6" s="109"/>
      <c r="BK6" s="109"/>
      <c r="BL6" s="109"/>
      <c r="BM6" s="109"/>
      <c r="BN6" s="109"/>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150</v>
      </c>
      <c r="M7" s="1"/>
      <c r="O7" s="11"/>
      <c r="P7" s="12" t="s">
        <v>5</v>
      </c>
      <c r="Q7" s="12"/>
      <c r="R7" s="12"/>
      <c r="S7" s="13"/>
      <c r="U7" s="11"/>
      <c r="V7" s="12" t="s">
        <v>5</v>
      </c>
      <c r="W7" s="12"/>
      <c r="X7" s="12"/>
      <c r="Y7" s="13"/>
      <c r="AA7" s="14" t="s">
        <v>6</v>
      </c>
      <c r="AB7" s="15"/>
      <c r="AC7" s="16"/>
      <c r="BC7" s="11"/>
      <c r="BD7" s="12" t="s">
        <v>5</v>
      </c>
      <c r="BE7" s="12"/>
      <c r="BF7" s="12"/>
      <c r="BG7" s="13"/>
      <c r="BH7" s="109"/>
      <c r="BI7" s="11"/>
      <c r="BJ7" s="12" t="s">
        <v>5</v>
      </c>
      <c r="BK7" s="12"/>
      <c r="BL7" s="12"/>
      <c r="BM7" s="13"/>
      <c r="DN7" s="169" t="s">
        <v>116</v>
      </c>
      <c r="DO7" s="170"/>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17" t="s">
        <v>7</v>
      </c>
      <c r="C8" s="18"/>
      <c r="D8" s="18"/>
      <c r="E8" s="19"/>
      <c r="F8" s="133">
        <v>20000</v>
      </c>
      <c r="G8" s="18" t="s">
        <v>8</v>
      </c>
      <c r="H8" s="18" t="s">
        <v>9</v>
      </c>
      <c r="I8" s="21">
        <v>0</v>
      </c>
      <c r="J8" s="18"/>
      <c r="K8" s="193" t="s">
        <v>130</v>
      </c>
      <c r="L8" s="194"/>
      <c r="M8" s="1"/>
      <c r="O8" s="11"/>
      <c r="P8" s="12" t="s">
        <v>10</v>
      </c>
      <c r="Q8" s="23"/>
      <c r="R8" s="23"/>
      <c r="S8" s="11"/>
      <c r="U8" s="11"/>
      <c r="V8" s="12" t="s">
        <v>11</v>
      </c>
      <c r="W8" s="23"/>
      <c r="X8" s="23"/>
      <c r="Y8" s="11"/>
      <c r="AA8" s="24" t="s">
        <v>12</v>
      </c>
      <c r="AB8" s="19"/>
      <c r="AC8" s="25"/>
      <c r="BC8" s="11"/>
      <c r="BD8" s="12" t="s">
        <v>10</v>
      </c>
      <c r="BE8" s="23"/>
      <c r="BF8" s="23"/>
      <c r="BG8" s="11"/>
      <c r="BH8" s="109"/>
      <c r="BI8" s="11"/>
      <c r="BJ8" s="12" t="s">
        <v>11</v>
      </c>
      <c r="BK8" s="23"/>
      <c r="BL8" s="23"/>
      <c r="BM8" s="11"/>
      <c r="DN8" s="171"/>
      <c r="DO8" s="17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6"/>
      <c r="C9" s="18"/>
      <c r="D9" s="18"/>
      <c r="E9" s="18"/>
      <c r="F9" s="18"/>
      <c r="G9" s="18"/>
      <c r="H9" s="18" t="s">
        <v>13</v>
      </c>
      <c r="I9" s="27">
        <f>V34</f>
        <v>240</v>
      </c>
      <c r="J9" s="18"/>
      <c r="K9" s="18"/>
      <c r="L9" s="22"/>
      <c r="M9" s="1"/>
      <c r="O9" s="28"/>
      <c r="P9" s="13" t="s">
        <v>14</v>
      </c>
      <c r="Q9" s="29" t="s">
        <v>15</v>
      </c>
      <c r="R9" s="13" t="s">
        <v>16</v>
      </c>
      <c r="S9" s="11"/>
      <c r="U9" s="28"/>
      <c r="V9" s="13" t="s">
        <v>14</v>
      </c>
      <c r="W9" s="29" t="s">
        <v>15</v>
      </c>
      <c r="X9" s="30" t="s">
        <v>16</v>
      </c>
      <c r="Y9" s="11"/>
      <c r="AA9" s="24" t="s">
        <v>17</v>
      </c>
      <c r="AB9" s="19"/>
      <c r="AC9" s="25"/>
      <c r="BC9" s="28"/>
      <c r="BD9" s="136" t="s">
        <v>164</v>
      </c>
      <c r="BE9" s="29" t="s">
        <v>15</v>
      </c>
      <c r="BF9" s="13" t="s">
        <v>16</v>
      </c>
      <c r="BG9" s="11"/>
      <c r="BH9" s="109"/>
      <c r="BI9" s="28"/>
      <c r="BJ9" s="136" t="s">
        <v>14</v>
      </c>
      <c r="BK9" s="29" t="s">
        <v>15</v>
      </c>
      <c r="BL9" s="30" t="s">
        <v>16</v>
      </c>
      <c r="BM9" s="11"/>
      <c r="DN9" s="171"/>
      <c r="DO9" s="17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31" t="s">
        <v>18</v>
      </c>
      <c r="C10" s="18"/>
      <c r="D10" s="18"/>
      <c r="E10" s="32"/>
      <c r="F10" s="18"/>
      <c r="G10" s="18" t="s">
        <v>127</v>
      </c>
      <c r="H10" s="18"/>
      <c r="I10" s="33">
        <f>V37</f>
        <v>0</v>
      </c>
      <c r="J10" s="18"/>
      <c r="K10" s="18"/>
      <c r="L10" s="22"/>
      <c r="M10" s="1"/>
      <c r="O10" s="28" t="b">
        <v>0</v>
      </c>
      <c r="P10" s="34" t="s">
        <v>151</v>
      </c>
      <c r="Q10" s="35">
        <v>389.05934043857837</v>
      </c>
      <c r="R10" s="36">
        <v>236.95649710889242</v>
      </c>
      <c r="S10" s="28" t="e">
        <f>IF(J21,R10,Q10)</f>
        <v>#VALUE!</v>
      </c>
      <c r="T10" s="37">
        <f t="shared" ref="T10:T25" si="0">IF(O10,S10,0)</f>
        <v>0</v>
      </c>
      <c r="U10" s="28" t="b">
        <v>0</v>
      </c>
      <c r="V10" s="34" t="s">
        <v>151</v>
      </c>
      <c r="W10" s="36">
        <v>389.05934043857837</v>
      </c>
      <c r="X10" s="36">
        <v>236.95649710889242</v>
      </c>
      <c r="Y10" s="28" t="e">
        <f>IF(P21,X10,W10)</f>
        <v>#VALUE!</v>
      </c>
      <c r="AA10" s="24" t="s">
        <v>20</v>
      </c>
      <c r="AB10" s="19"/>
      <c r="AC10" s="25"/>
      <c r="BC10" s="28" t="b">
        <v>0</v>
      </c>
      <c r="BD10" s="34" t="s">
        <v>151</v>
      </c>
      <c r="BE10" s="35">
        <v>389.05934043857837</v>
      </c>
      <c r="BF10" s="36">
        <v>236.95649710889242</v>
      </c>
      <c r="BG10" s="28">
        <f>IF(AF21,BF10,BE10)</f>
        <v>389.05934043857837</v>
      </c>
      <c r="BH10" s="110"/>
      <c r="BI10" s="28" t="b">
        <v>0</v>
      </c>
      <c r="BJ10" s="34" t="s">
        <v>151</v>
      </c>
      <c r="BK10" s="36">
        <v>389.05934043857837</v>
      </c>
      <c r="BL10" s="36">
        <v>236.95649710889242</v>
      </c>
      <c r="BM10" s="28" t="e">
        <f>IF(BD21,BL10,BK10)</f>
        <v>#VALUE!</v>
      </c>
      <c r="DN10" s="171"/>
      <c r="DO10" s="17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191" t="str">
        <f>V36</f>
        <v>E</v>
      </c>
      <c r="C11" s="192"/>
      <c r="D11" s="18"/>
      <c r="E11" s="32"/>
      <c r="F11" s="18" t="s">
        <v>2</v>
      </c>
      <c r="G11" s="32"/>
      <c r="H11" s="18"/>
      <c r="I11" s="18"/>
      <c r="J11" s="18"/>
      <c r="K11" s="18"/>
      <c r="L11" s="22"/>
      <c r="M11" s="1"/>
      <c r="O11" s="28" t="b">
        <v>0</v>
      </c>
      <c r="P11" s="34" t="s">
        <v>152</v>
      </c>
      <c r="Q11" s="36">
        <v>617.11951548808042</v>
      </c>
      <c r="R11" s="36">
        <v>375.90269576634142</v>
      </c>
      <c r="S11" s="38" t="e">
        <f>IF(J21,R11,Q11)</f>
        <v>#VALUE!</v>
      </c>
      <c r="T11" s="37">
        <f t="shared" si="0"/>
        <v>0</v>
      </c>
      <c r="U11" s="28" t="b">
        <v>0</v>
      </c>
      <c r="V11" s="34" t="s">
        <v>152</v>
      </c>
      <c r="W11" s="36">
        <v>617.11951548808042</v>
      </c>
      <c r="X11" s="36">
        <v>375.90269576634142</v>
      </c>
      <c r="Y11" s="38" t="e">
        <f>IF(P21,X11,W11)</f>
        <v>#VALUE!</v>
      </c>
      <c r="AA11" s="39" t="s">
        <v>21</v>
      </c>
      <c r="AB11" s="40"/>
      <c r="AC11" s="41"/>
      <c r="BC11" s="28" t="b">
        <v>0</v>
      </c>
      <c r="BD11" s="34" t="s">
        <v>152</v>
      </c>
      <c r="BE11" s="36">
        <v>617.11951548808042</v>
      </c>
      <c r="BF11" s="36">
        <v>375.90269576634142</v>
      </c>
      <c r="BG11" s="38">
        <f>IF(AF21,BF11,BE11)</f>
        <v>617.11951548808042</v>
      </c>
      <c r="BH11" s="110"/>
      <c r="BI11" s="28" t="b">
        <v>0</v>
      </c>
      <c r="BJ11" s="34" t="s">
        <v>152</v>
      </c>
      <c r="BK11" s="36">
        <v>617.11951548808042</v>
      </c>
      <c r="BL11" s="36">
        <v>375.90269576634142</v>
      </c>
      <c r="BM11" s="38" t="e">
        <f>IF(BD21,BL11,BK11)</f>
        <v>#VALUE!</v>
      </c>
      <c r="DN11" s="171"/>
      <c r="DO11" s="17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26"/>
      <c r="C12" s="18"/>
      <c r="D12" s="18"/>
      <c r="E12" s="18"/>
      <c r="F12" s="18"/>
      <c r="G12" s="18"/>
      <c r="H12" s="18"/>
      <c r="I12" s="18"/>
      <c r="J12" s="18"/>
      <c r="K12" s="18"/>
      <c r="L12" s="22"/>
      <c r="M12" s="1"/>
      <c r="O12" s="28" t="b">
        <v>0</v>
      </c>
      <c r="P12" s="34" t="s">
        <v>153</v>
      </c>
      <c r="Q12" s="36">
        <v>981.66657949248315</v>
      </c>
      <c r="R12" s="36">
        <v>598.65468595959044</v>
      </c>
      <c r="S12" s="38" t="e">
        <f>IF(J21,R12,Q12)</f>
        <v>#VALUE!</v>
      </c>
      <c r="T12" s="37">
        <f t="shared" si="0"/>
        <v>0</v>
      </c>
      <c r="U12" s="28" t="b">
        <v>0</v>
      </c>
      <c r="V12" s="34" t="s">
        <v>153</v>
      </c>
      <c r="W12" s="36">
        <v>981.66657949248315</v>
      </c>
      <c r="X12" s="35">
        <v>598.65468595959044</v>
      </c>
      <c r="Y12" s="38" t="e">
        <f>IF(P21,X12,W12)</f>
        <v>#VALUE!</v>
      </c>
      <c r="BC12" s="28" t="b">
        <v>0</v>
      </c>
      <c r="BD12" s="34" t="s">
        <v>153</v>
      </c>
      <c r="BE12" s="36">
        <v>981</v>
      </c>
      <c r="BF12" s="36">
        <v>598.65468595959044</v>
      </c>
      <c r="BG12" s="38">
        <f>IF(AF21,BF12,BE12)</f>
        <v>981</v>
      </c>
      <c r="BH12" s="110"/>
      <c r="BI12" s="28" t="b">
        <v>0</v>
      </c>
      <c r="BJ12" s="34" t="s">
        <v>153</v>
      </c>
      <c r="BK12" s="36">
        <v>981.66657949248315</v>
      </c>
      <c r="BL12" s="35">
        <v>598.65468595959044</v>
      </c>
      <c r="BM12" s="38" t="e">
        <f>IF(BD21,BL12,BK12)</f>
        <v>#VALUE!</v>
      </c>
      <c r="DN12" s="171"/>
      <c r="DO12" s="17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42" t="s">
        <v>124</v>
      </c>
      <c r="C13" s="32"/>
      <c r="D13" s="32"/>
      <c r="E13" s="104"/>
      <c r="F13" s="179" t="s">
        <v>22</v>
      </c>
      <c r="G13" s="103"/>
      <c r="H13" s="107" t="s">
        <v>128</v>
      </c>
      <c r="I13" s="105">
        <v>0</v>
      </c>
      <c r="J13" s="32"/>
      <c r="K13" s="103"/>
      <c r="L13" s="22"/>
      <c r="M13" s="1"/>
      <c r="O13" s="28" t="b">
        <v>0</v>
      </c>
      <c r="P13" s="34" t="s">
        <v>154</v>
      </c>
      <c r="Q13" s="36">
        <v>1558.7822320462208</v>
      </c>
      <c r="R13" s="36">
        <v>951.75787362636663</v>
      </c>
      <c r="S13" s="38" t="e">
        <f>IF(J21,R13,Q13)</f>
        <v>#VALUE!</v>
      </c>
      <c r="T13" s="37">
        <f t="shared" si="0"/>
        <v>0</v>
      </c>
      <c r="U13" s="28" t="b">
        <v>0</v>
      </c>
      <c r="V13" s="34" t="s">
        <v>154</v>
      </c>
      <c r="W13" s="36">
        <v>1558.7822320462208</v>
      </c>
      <c r="X13" s="35">
        <v>951.75787362636663</v>
      </c>
      <c r="Y13" s="38" t="e">
        <f>IF(P21,X13,W13)</f>
        <v>#VALUE!</v>
      </c>
      <c r="BC13" s="28" t="b">
        <v>0</v>
      </c>
      <c r="BD13" s="34" t="s">
        <v>154</v>
      </c>
      <c r="BE13" s="36">
        <v>1557</v>
      </c>
      <c r="BF13" s="36">
        <v>951.75787362636663</v>
      </c>
      <c r="BG13" s="38">
        <f>IF(AF21,BF13,BE13)</f>
        <v>1557</v>
      </c>
      <c r="BH13" s="110"/>
      <c r="BI13" s="28" t="b">
        <v>0</v>
      </c>
      <c r="BJ13" s="34" t="s">
        <v>154</v>
      </c>
      <c r="BK13" s="36">
        <v>1558.7822320462208</v>
      </c>
      <c r="BL13" s="35">
        <v>951.75787362636663</v>
      </c>
      <c r="BM13" s="38" t="e">
        <f>IF(BD21,BL13,BK13)</f>
        <v>#VALUE!</v>
      </c>
      <c r="DN13" s="173"/>
      <c r="DO13" s="174"/>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42" t="s">
        <v>123</v>
      </c>
      <c r="C14" s="32"/>
      <c r="D14" s="32"/>
      <c r="E14" s="104"/>
      <c r="F14" s="179"/>
      <c r="G14" s="18"/>
      <c r="H14" s="18" t="s">
        <v>125</v>
      </c>
      <c r="I14" s="106">
        <v>0</v>
      </c>
      <c r="J14" s="32"/>
      <c r="K14" s="18"/>
      <c r="L14" s="22"/>
      <c r="M14" s="1"/>
      <c r="O14" s="28" t="b">
        <v>0</v>
      </c>
      <c r="P14" s="43" t="s">
        <v>155</v>
      </c>
      <c r="Q14" s="36">
        <v>2430.235844873087</v>
      </c>
      <c r="R14" s="36">
        <v>1481.6944868176849</v>
      </c>
      <c r="S14" s="38">
        <f>IF(18,R14,Q14)</f>
        <v>1481.6944868176849</v>
      </c>
      <c r="T14" s="37">
        <f t="shared" si="0"/>
        <v>0</v>
      </c>
      <c r="U14" s="28" t="b">
        <v>0</v>
      </c>
      <c r="V14" s="43" t="s">
        <v>155</v>
      </c>
      <c r="W14" s="36">
        <v>2425.2871306650477</v>
      </c>
      <c r="X14" s="35">
        <v>1480.5707698326703</v>
      </c>
      <c r="Y14" s="38">
        <f>IF(18,X14,W14)</f>
        <v>1480.5707698326703</v>
      </c>
      <c r="BC14" s="28" t="b">
        <v>0</v>
      </c>
      <c r="BD14" s="43" t="s">
        <v>155</v>
      </c>
      <c r="BE14" s="36">
        <v>2425</v>
      </c>
      <c r="BF14" s="36">
        <v>1481.6944868176849</v>
      </c>
      <c r="BG14" s="38">
        <f>IF(18,BF14,BE14)</f>
        <v>1481.6944868176849</v>
      </c>
      <c r="BH14" s="110"/>
      <c r="BI14" s="28" t="b">
        <v>0</v>
      </c>
      <c r="BJ14" s="43" t="s">
        <v>155</v>
      </c>
      <c r="BK14" s="36">
        <v>2425.2871306650477</v>
      </c>
      <c r="BL14" s="35">
        <v>1480.5707698326703</v>
      </c>
      <c r="BM14" s="38">
        <f>IF(18,BL14,BK14)</f>
        <v>1480.5707698326703</v>
      </c>
      <c r="DN14" s="173"/>
      <c r="DO14" s="174"/>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44" t="s">
        <v>26</v>
      </c>
      <c r="C15" s="18"/>
      <c r="D15" s="18"/>
      <c r="E15" s="18"/>
      <c r="F15" s="19"/>
      <c r="G15" s="18" t="s">
        <v>126</v>
      </c>
      <c r="H15" s="18"/>
      <c r="I15" s="45">
        <f>IF(I14=0,0,I10*100/(I14*100*I13))</f>
        <v>0</v>
      </c>
      <c r="J15" s="18" t="s">
        <v>27</v>
      </c>
      <c r="K15" s="18"/>
      <c r="L15" s="22"/>
      <c r="M15" s="1"/>
      <c r="O15" s="28" t="b">
        <v>0</v>
      </c>
      <c r="P15" s="34" t="s">
        <v>156</v>
      </c>
      <c r="Q15" s="36">
        <v>3823.6321798758745</v>
      </c>
      <c r="R15" s="36">
        <v>2349.8943710678423</v>
      </c>
      <c r="S15" s="38" t="e">
        <f>IF(J21,R15,Q15)</f>
        <v>#VALUE!</v>
      </c>
      <c r="T15" s="37">
        <f t="shared" si="0"/>
        <v>0</v>
      </c>
      <c r="U15" s="28" t="b">
        <v>0</v>
      </c>
      <c r="V15" s="34" t="s">
        <v>156</v>
      </c>
      <c r="W15" s="36">
        <v>3806.2231306417598</v>
      </c>
      <c r="X15" s="35">
        <v>2345.8361144358969</v>
      </c>
      <c r="Y15" s="38" t="e">
        <f>IF(P21,X15,W15)</f>
        <v>#VALUE!</v>
      </c>
      <c r="BC15" s="28" t="b">
        <v>0</v>
      </c>
      <c r="BD15" s="34" t="s">
        <v>156</v>
      </c>
      <c r="BE15" s="36">
        <v>3806</v>
      </c>
      <c r="BF15" s="36">
        <v>2346</v>
      </c>
      <c r="BG15" s="38">
        <f>IF(AF21,BF15,BE15)</f>
        <v>3806</v>
      </c>
      <c r="BH15" s="110"/>
      <c r="BI15" s="28" t="b">
        <v>0</v>
      </c>
      <c r="BJ15" s="34" t="s">
        <v>156</v>
      </c>
      <c r="BK15" s="36">
        <v>3806.2231306417598</v>
      </c>
      <c r="BL15" s="35">
        <v>2345.8361144358969</v>
      </c>
      <c r="BM15" s="38" t="e">
        <f>IF(BD21,BL15,BK15)</f>
        <v>#VALUE!</v>
      </c>
      <c r="DN15" s="173"/>
      <c r="DO15" s="174"/>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26"/>
      <c r="C16" s="18"/>
      <c r="D16" s="18"/>
      <c r="E16" s="18"/>
      <c r="F16" s="18"/>
      <c r="G16" s="18"/>
      <c r="H16" s="18"/>
      <c r="I16" s="19"/>
      <c r="J16" s="18"/>
      <c r="K16" s="18"/>
      <c r="L16" s="22"/>
      <c r="M16" s="1"/>
      <c r="O16" s="28" t="b">
        <v>0</v>
      </c>
      <c r="P16" s="34" t="s">
        <v>157</v>
      </c>
      <c r="Q16" s="36">
        <v>4635.4907887745949</v>
      </c>
      <c r="R16" s="36">
        <v>2871.799002052775</v>
      </c>
      <c r="S16" s="38" t="e">
        <f>IF(J21,R16,Q16)</f>
        <v>#VALUE!</v>
      </c>
      <c r="T16" s="37">
        <f t="shared" si="0"/>
        <v>0</v>
      </c>
      <c r="U16" s="28" t="b">
        <v>0</v>
      </c>
      <c r="V16" s="34" t="s">
        <v>157</v>
      </c>
      <c r="W16" s="36">
        <v>4633.1288113297242</v>
      </c>
      <c r="X16" s="35">
        <v>2876.2446490780762</v>
      </c>
      <c r="Y16" s="38" t="e">
        <f>IF(P21,X16,W16)</f>
        <v>#VALUE!</v>
      </c>
      <c r="AA16" s="58">
        <v>1</v>
      </c>
      <c r="AB16" s="58">
        <v>1</v>
      </c>
      <c r="AC16" s="58" t="s">
        <v>112</v>
      </c>
      <c r="BC16" s="28" t="b">
        <v>0</v>
      </c>
      <c r="BD16" s="34" t="s">
        <v>157</v>
      </c>
      <c r="BE16" s="36">
        <v>4774</v>
      </c>
      <c r="BF16" s="36">
        <v>2952</v>
      </c>
      <c r="BG16" s="38">
        <f>IF(AF21,BF16,BE16)</f>
        <v>4774</v>
      </c>
      <c r="BH16" s="110"/>
      <c r="BI16" s="28" t="b">
        <v>0</v>
      </c>
      <c r="BJ16" s="34" t="s">
        <v>157</v>
      </c>
      <c r="BK16" s="36">
        <v>4633.1288113297242</v>
      </c>
      <c r="BL16" s="35">
        <v>2876.2446490780762</v>
      </c>
      <c r="BM16" s="38" t="e">
        <f>IF(BD21,BL16,BK16)</f>
        <v>#VALUE!</v>
      </c>
      <c r="DN16" s="173"/>
      <c r="DO16" s="174"/>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46" t="s">
        <v>28</v>
      </c>
      <c r="C17" s="18"/>
      <c r="D17" s="18"/>
      <c r="E17" s="18"/>
      <c r="F17" s="18"/>
      <c r="G17" s="18"/>
      <c r="H17" s="18"/>
      <c r="I17" s="18"/>
      <c r="J17" s="18"/>
      <c r="K17" s="18"/>
      <c r="L17" s="22"/>
      <c r="M17" s="1"/>
      <c r="O17" s="28" t="b">
        <v>0</v>
      </c>
      <c r="P17" s="34" t="s">
        <v>158</v>
      </c>
      <c r="Q17" s="36">
        <v>6044.2040650502304</v>
      </c>
      <c r="R17" s="36">
        <v>3729.7608181376904</v>
      </c>
      <c r="S17" s="38" t="e">
        <f>IF(J21,R17,Q17)</f>
        <v>#VALUE!</v>
      </c>
      <c r="T17" s="37">
        <f t="shared" si="0"/>
        <v>0</v>
      </c>
      <c r="U17" s="28" t="b">
        <v>0</v>
      </c>
      <c r="V17" s="34" t="s">
        <v>158</v>
      </c>
      <c r="W17" s="36">
        <v>5906.9311245804556</v>
      </c>
      <c r="X17" s="35">
        <v>3713.3946065002592</v>
      </c>
      <c r="Y17" s="38" t="e">
        <f>IF(P21,X17,W17)</f>
        <v>#VALUE!</v>
      </c>
      <c r="AA17" s="58"/>
      <c r="AB17" s="99">
        <v>3.2810000000000001</v>
      </c>
      <c r="AC17" s="58" t="s">
        <v>113</v>
      </c>
      <c r="BC17" s="28" t="b">
        <v>0</v>
      </c>
      <c r="BD17" s="34" t="s">
        <v>158</v>
      </c>
      <c r="BE17" s="36">
        <v>5907</v>
      </c>
      <c r="BF17" s="36">
        <v>3713</v>
      </c>
      <c r="BG17" s="38">
        <f>IF(AF21,BF17,BE17)</f>
        <v>5907</v>
      </c>
      <c r="BH17" s="110"/>
      <c r="BI17" s="28" t="b">
        <v>0</v>
      </c>
      <c r="BJ17" s="34" t="s">
        <v>158</v>
      </c>
      <c r="BK17" s="36">
        <v>5906.9311245804556</v>
      </c>
      <c r="BL17" s="35">
        <v>3713.3946065002592</v>
      </c>
      <c r="BM17" s="38" t="e">
        <f>IF(BD21,BL17,BK17)</f>
        <v>#VALUE!</v>
      </c>
      <c r="DN17" s="173"/>
      <c r="DO17" s="174"/>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26"/>
      <c r="C18" s="18"/>
      <c r="D18" s="18"/>
      <c r="E18" s="18" t="s">
        <v>29</v>
      </c>
      <c r="F18" s="18"/>
      <c r="G18" s="18"/>
      <c r="H18" s="18" t="s">
        <v>30</v>
      </c>
      <c r="I18" s="21">
        <v>100</v>
      </c>
      <c r="J18" s="18"/>
      <c r="K18" s="18"/>
      <c r="L18" s="22"/>
      <c r="M18" s="1"/>
      <c r="O18" s="28" t="b">
        <v>0</v>
      </c>
      <c r="P18" s="34" t="s">
        <v>159</v>
      </c>
      <c r="Q18" s="36">
        <v>7493.0777203984289</v>
      </c>
      <c r="R18" s="36">
        <v>4678.2818105990318</v>
      </c>
      <c r="S18" s="38" t="e">
        <f>IF(J21,R18,Q18)</f>
        <v>#VALUE!</v>
      </c>
      <c r="T18" s="37">
        <f t="shared" si="0"/>
        <v>0</v>
      </c>
      <c r="U18" s="28" t="b">
        <v>0</v>
      </c>
      <c r="V18" s="34" t="s">
        <v>159</v>
      </c>
      <c r="W18" s="36">
        <v>7292.9819118533896</v>
      </c>
      <c r="X18" s="35">
        <v>4645.1728973722275</v>
      </c>
      <c r="Y18" s="38" t="e">
        <f>IF(P21,X18,W18)</f>
        <v>#VALUE!</v>
      </c>
      <c r="AA18" s="58"/>
      <c r="AB18" s="58"/>
      <c r="AC18" s="58"/>
      <c r="BC18" s="28" t="b">
        <v>0</v>
      </c>
      <c r="BD18" s="34" t="s">
        <v>159</v>
      </c>
      <c r="BE18" s="36">
        <v>7293</v>
      </c>
      <c r="BF18" s="36">
        <v>4645</v>
      </c>
      <c r="BG18" s="38">
        <f>IF(AF21,BF18,BE18)</f>
        <v>7293</v>
      </c>
      <c r="BH18" s="110"/>
      <c r="BI18" s="28" t="b">
        <v>0</v>
      </c>
      <c r="BJ18" s="34" t="s">
        <v>159</v>
      </c>
      <c r="BK18" s="36">
        <v>7292.9819118533896</v>
      </c>
      <c r="BL18" s="35">
        <v>4645.1728973722275</v>
      </c>
      <c r="BM18" s="38" t="e">
        <f>IF(BD21,BL18,BK18)</f>
        <v>#VALUE!</v>
      </c>
      <c r="DN18" s="173"/>
      <c r="DO18" s="174"/>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149" t="s">
        <v>31</v>
      </c>
      <c r="C19" s="135" t="str">
        <f>V47</f>
        <v>2 x L x I x (1.5N)</v>
      </c>
      <c r="D19" s="135"/>
      <c r="E19" s="32"/>
      <c r="F19" s="18" t="s">
        <v>32</v>
      </c>
      <c r="G19" s="18"/>
      <c r="H19" s="18" t="s">
        <v>33</v>
      </c>
      <c r="I19" s="47">
        <f>IF(F8&gt;0,F8,I15)</f>
        <v>20000</v>
      </c>
      <c r="J19" s="18"/>
      <c r="K19" s="18"/>
      <c r="L19" s="22"/>
      <c r="M19" s="1"/>
      <c r="O19" s="28" t="b">
        <v>0</v>
      </c>
      <c r="P19" s="43" t="s">
        <v>160</v>
      </c>
      <c r="Q19" s="36">
        <v>9317.1278392089698</v>
      </c>
      <c r="R19" s="36">
        <v>5838.122477000773</v>
      </c>
      <c r="S19" s="38" t="e">
        <f>IF(J21,R19,Q19)</f>
        <v>#VALUE!</v>
      </c>
      <c r="T19" s="37">
        <f t="shared" si="0"/>
        <v>0</v>
      </c>
      <c r="U19" s="28" t="b">
        <v>0</v>
      </c>
      <c r="V19" s="43" t="s">
        <v>160</v>
      </c>
      <c r="W19" s="36">
        <v>8924.6983067607034</v>
      </c>
      <c r="X19" s="35">
        <v>5777.0769196430228</v>
      </c>
      <c r="Y19" s="38" t="e">
        <f>IF(P21,X19,W19)</f>
        <v>#VALUE!</v>
      </c>
      <c r="AA19" s="58"/>
      <c r="AB19" s="58">
        <f>IF(AA16=1,AB16,AB17)</f>
        <v>1</v>
      </c>
      <c r="AC19" s="58"/>
      <c r="BC19" s="28" t="b">
        <v>0</v>
      </c>
      <c r="BD19" s="43" t="s">
        <v>160</v>
      </c>
      <c r="BE19" s="36">
        <v>8925</v>
      </c>
      <c r="BF19" s="36">
        <v>5777</v>
      </c>
      <c r="BG19" s="38">
        <f>IF(AF21,BF19,BE19)</f>
        <v>8925</v>
      </c>
      <c r="BH19" s="110"/>
      <c r="BI19" s="28" t="b">
        <v>0</v>
      </c>
      <c r="BJ19" s="43" t="s">
        <v>160</v>
      </c>
      <c r="BK19" s="36">
        <v>8924.6983067607034</v>
      </c>
      <c r="BL19" s="35">
        <v>5777.0769196430228</v>
      </c>
      <c r="BM19" s="38" t="e">
        <f>IF(BD21,BL19,BK19)</f>
        <v>#VALUE!</v>
      </c>
      <c r="DN19" s="173"/>
      <c r="DO19" s="174"/>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150"/>
      <c r="C20" s="32" t="s">
        <v>149</v>
      </c>
      <c r="D20" s="32"/>
      <c r="E20" s="32"/>
      <c r="F20" s="48" t="s">
        <v>36</v>
      </c>
      <c r="G20" s="18"/>
      <c r="H20" s="18" t="s">
        <v>37</v>
      </c>
      <c r="I20" s="21">
        <v>3</v>
      </c>
      <c r="J20" s="49"/>
      <c r="K20" s="18"/>
      <c r="L20" s="22"/>
      <c r="M20" s="1"/>
      <c r="O20" s="28" t="b">
        <v>0</v>
      </c>
      <c r="P20" s="43" t="s">
        <v>161</v>
      </c>
      <c r="Q20" s="36">
        <v>11423.738111586732</v>
      </c>
      <c r="R20" s="36">
        <v>7301.3535258869551</v>
      </c>
      <c r="S20" s="38" t="e">
        <f>IF(J21,R20,Q20)</f>
        <v>#VALUE!</v>
      </c>
      <c r="T20" s="37">
        <f t="shared" si="0"/>
        <v>0</v>
      </c>
      <c r="U20" s="28" t="b">
        <v>0</v>
      </c>
      <c r="V20" s="43" t="s">
        <v>161</v>
      </c>
      <c r="W20" s="36">
        <v>10755.13817039183</v>
      </c>
      <c r="X20" s="35">
        <v>7186.6587434532321</v>
      </c>
      <c r="Y20" s="38" t="e">
        <f>IF(P21,X20,W20)</f>
        <v>#VALUE!</v>
      </c>
      <c r="BC20" s="28" t="b">
        <v>0</v>
      </c>
      <c r="BD20" s="43" t="s">
        <v>161</v>
      </c>
      <c r="BE20" s="36">
        <v>10755</v>
      </c>
      <c r="BF20" s="36">
        <v>7187</v>
      </c>
      <c r="BG20" s="38">
        <f>IF(AF21,BF20,BE20)</f>
        <v>10755</v>
      </c>
      <c r="BH20" s="110"/>
      <c r="BI20" s="28" t="b">
        <v>0</v>
      </c>
      <c r="BJ20" s="43" t="s">
        <v>161</v>
      </c>
      <c r="BK20" s="36">
        <v>10755.13817039183</v>
      </c>
      <c r="BL20" s="35">
        <v>7186.6587434532321</v>
      </c>
      <c r="BM20" s="38" t="e">
        <f>IF(BD21,BL20,BK20)</f>
        <v>#VALUE!</v>
      </c>
      <c r="DN20" s="173"/>
      <c r="DO20" s="174"/>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26"/>
      <c r="C21" s="18"/>
      <c r="D21" s="18"/>
      <c r="E21" s="137" t="s">
        <v>39</v>
      </c>
      <c r="F21" s="138"/>
      <c r="G21" s="137"/>
      <c r="H21" s="18" t="s">
        <v>40</v>
      </c>
      <c r="I21" s="50">
        <f>S40</f>
        <v>18505.830254940131</v>
      </c>
      <c r="J21" s="153" t="s">
        <v>41</v>
      </c>
      <c r="K21" s="154"/>
      <c r="L21" s="22"/>
      <c r="M21" s="1"/>
      <c r="O21" s="28" t="b">
        <v>0</v>
      </c>
      <c r="P21" s="43" t="s">
        <v>162</v>
      </c>
      <c r="Q21" s="36">
        <v>13923.188519527854</v>
      </c>
      <c r="R21" s="36">
        <v>9110.1283949548178</v>
      </c>
      <c r="S21" s="38" t="e">
        <f>IF(J21,R21,Q21)</f>
        <v>#VALUE!</v>
      </c>
      <c r="T21" s="37">
        <f t="shared" si="0"/>
        <v>0</v>
      </c>
      <c r="U21" s="28" t="b">
        <v>0</v>
      </c>
      <c r="V21" s="43" t="s">
        <v>162</v>
      </c>
      <c r="W21" s="36">
        <v>12843.501391351736</v>
      </c>
      <c r="X21" s="35">
        <v>8826.43131085606</v>
      </c>
      <c r="Y21" s="38" t="e">
        <f>IF(P21,X21,W21)</f>
        <v>#VALUE!</v>
      </c>
      <c r="BC21" s="28" t="b">
        <v>0</v>
      </c>
      <c r="BD21" s="43" t="s">
        <v>162</v>
      </c>
      <c r="BE21" s="36">
        <v>12844</v>
      </c>
      <c r="BF21" s="36">
        <v>8826</v>
      </c>
      <c r="BG21" s="38">
        <f>IF(AF21,BF21,BE21)</f>
        <v>12844</v>
      </c>
      <c r="BH21" s="110"/>
      <c r="BI21" s="28" t="b">
        <v>0</v>
      </c>
      <c r="BJ21" s="43" t="s">
        <v>162</v>
      </c>
      <c r="BK21" s="36">
        <v>12843.501391351736</v>
      </c>
      <c r="BL21" s="35">
        <v>8826.43131085606</v>
      </c>
      <c r="BM21" s="38" t="e">
        <f>IF(BD21,BL21,BK21)</f>
        <v>#VALUE!</v>
      </c>
      <c r="DN21" s="173"/>
      <c r="DO21" s="174"/>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thickBot="1">
      <c r="A22" s="5"/>
      <c r="B22" s="26"/>
      <c r="C22" s="18"/>
      <c r="D22" s="18"/>
      <c r="F22" s="137" t="s">
        <v>43</v>
      </c>
      <c r="G22" s="137"/>
      <c r="H22" s="18" t="s">
        <v>44</v>
      </c>
      <c r="I22" s="51">
        <f>V41</f>
        <v>240</v>
      </c>
      <c r="J22" s="18" t="s">
        <v>45</v>
      </c>
      <c r="L22" s="22"/>
      <c r="M22" s="1"/>
      <c r="O22" s="28" t="b">
        <v>0</v>
      </c>
      <c r="P22" s="43" t="s">
        <v>163</v>
      </c>
      <c r="Q22" s="36">
        <v>16673.221457441254</v>
      </c>
      <c r="R22" s="36">
        <v>11174.474827388922</v>
      </c>
      <c r="S22" s="38" t="e">
        <f>IF(J21,R22,Q22)</f>
        <v>#VALUE!</v>
      </c>
      <c r="T22" s="37">
        <f t="shared" si="0"/>
        <v>0</v>
      </c>
      <c r="U22" s="28" t="b">
        <v>0</v>
      </c>
      <c r="V22" s="43" t="s">
        <v>163</v>
      </c>
      <c r="W22" s="36">
        <v>15082.338662331369</v>
      </c>
      <c r="X22" s="35">
        <v>10740.989856504781</v>
      </c>
      <c r="Y22" s="38" t="e">
        <f>IF(P21,X22,W22)</f>
        <v>#VALUE!</v>
      </c>
      <c r="BC22" s="28" t="b">
        <v>0</v>
      </c>
      <c r="BD22" s="43" t="s">
        <v>163</v>
      </c>
      <c r="BE22" s="36">
        <v>15082</v>
      </c>
      <c r="BF22" s="36">
        <v>10741</v>
      </c>
      <c r="BG22" s="38">
        <f>IF(AF21,BF22,BE22)</f>
        <v>15082</v>
      </c>
      <c r="BH22" s="110"/>
      <c r="BI22" s="28" t="b">
        <v>0</v>
      </c>
      <c r="BJ22" s="43" t="s">
        <v>163</v>
      </c>
      <c r="BK22" s="36">
        <v>15082.338662331369</v>
      </c>
      <c r="BL22" s="35">
        <v>10740.989856504781</v>
      </c>
      <c r="BM22" s="38" t="e">
        <f>IF(BD21,BL22,BK22)</f>
        <v>#VALUE!</v>
      </c>
      <c r="DN22" s="175"/>
      <c r="DO22" s="176"/>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26"/>
      <c r="C23" s="18"/>
      <c r="D23" s="18"/>
      <c r="E23" s="18"/>
      <c r="F23" s="18"/>
      <c r="G23" s="18"/>
      <c r="H23" s="18" t="s">
        <v>47</v>
      </c>
      <c r="I23" s="52">
        <f>IF(I21=0,0,(V35*I18*AB19*I19)/(I20*I21*I22))</f>
        <v>0.30020569080236215</v>
      </c>
      <c r="J23" s="18"/>
      <c r="K23" s="18"/>
      <c r="L23" s="22"/>
      <c r="M23" s="1"/>
      <c r="O23" s="28" t="b">
        <v>0</v>
      </c>
      <c r="P23" s="34" t="s">
        <v>48</v>
      </c>
      <c r="Q23" s="36">
        <v>18593.592822160561</v>
      </c>
      <c r="R23" s="36">
        <v>12862.419894284096</v>
      </c>
      <c r="S23" s="38" t="e">
        <f>IF(J21,R23,Q23)</f>
        <v>#VALUE!</v>
      </c>
      <c r="T23" s="37">
        <f t="shared" si="0"/>
        <v>0</v>
      </c>
      <c r="U23" s="28" t="b">
        <v>0</v>
      </c>
      <c r="V23" s="34" t="s">
        <v>48</v>
      </c>
      <c r="W23" s="36">
        <v>16483.392077271208</v>
      </c>
      <c r="X23" s="35">
        <v>12122.458939602073</v>
      </c>
      <c r="Y23" s="38" t="e">
        <f>IF(P21,X23,W23)</f>
        <v>#VALUE!</v>
      </c>
      <c r="BC23" s="28" t="b">
        <v>0</v>
      </c>
      <c r="BD23" s="34" t="s">
        <v>48</v>
      </c>
      <c r="BE23" s="36">
        <v>16483</v>
      </c>
      <c r="BF23" s="36">
        <v>12122</v>
      </c>
      <c r="BG23" s="38">
        <f>IF(AF21,BF23,BE23)</f>
        <v>16483</v>
      </c>
      <c r="BH23" s="110"/>
      <c r="BI23" s="28" t="b">
        <v>0</v>
      </c>
      <c r="BJ23" s="34" t="s">
        <v>48</v>
      </c>
      <c r="BK23" s="36">
        <v>16483.392077271208</v>
      </c>
      <c r="BL23" s="35">
        <v>12122.458939602073</v>
      </c>
      <c r="BM23" s="38" t="e">
        <f>IF(BD21,BL23,BK23)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26"/>
      <c r="C24" s="18"/>
      <c r="D24" s="18"/>
      <c r="E24" s="137" t="s">
        <v>49</v>
      </c>
      <c r="F24" s="138"/>
      <c r="G24" s="137"/>
      <c r="H24" s="18" t="s">
        <v>40</v>
      </c>
      <c r="I24" s="50">
        <f>T40</f>
        <v>18505.830254940131</v>
      </c>
      <c r="J24" s="153" t="s">
        <v>50</v>
      </c>
      <c r="K24" s="154"/>
      <c r="L24" s="22"/>
      <c r="M24" s="1"/>
      <c r="O24" s="28" t="b">
        <v>0</v>
      </c>
      <c r="P24" s="34" t="s">
        <v>51</v>
      </c>
      <c r="Q24" s="36">
        <v>20867.77910661223</v>
      </c>
      <c r="R24" s="36">
        <v>14922.713943512308</v>
      </c>
      <c r="S24" s="38" t="e">
        <f>IF(J21,R24,Q24)</f>
        <v>#VALUE!</v>
      </c>
      <c r="T24" s="37">
        <f t="shared" si="0"/>
        <v>0</v>
      </c>
      <c r="U24" s="28" t="b">
        <v>0</v>
      </c>
      <c r="V24" s="34" t="s">
        <v>51</v>
      </c>
      <c r="W24" s="36">
        <v>18176.591285604794</v>
      </c>
      <c r="X24" s="35">
        <v>13909.658873325201</v>
      </c>
      <c r="Y24" s="38" t="e">
        <f>IF(P21,X24,W24)</f>
        <v>#VALUE!</v>
      </c>
      <c r="BC24" s="28" t="b">
        <v>0</v>
      </c>
      <c r="BD24" s="34" t="s">
        <v>51</v>
      </c>
      <c r="BE24" s="36">
        <v>18177</v>
      </c>
      <c r="BF24" s="36">
        <v>13910</v>
      </c>
      <c r="BG24" s="38">
        <f>IF(AF21,BF24,BE24)</f>
        <v>18177</v>
      </c>
      <c r="BH24" s="110"/>
      <c r="BI24" s="28" t="b">
        <v>0</v>
      </c>
      <c r="BJ24" s="34" t="s">
        <v>51</v>
      </c>
      <c r="BK24" s="36">
        <v>18176.591285604794</v>
      </c>
      <c r="BL24" s="35">
        <v>13909.658873325201</v>
      </c>
      <c r="BM24" s="38" t="e">
        <f>IF(BD21,BL24,BK24)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46" t="s">
        <v>52</v>
      </c>
      <c r="C25" s="18"/>
      <c r="D25" s="18"/>
      <c r="E25" s="18"/>
      <c r="F25" s="137" t="s">
        <v>53</v>
      </c>
      <c r="G25" s="137"/>
      <c r="H25" s="18" t="s">
        <v>54</v>
      </c>
      <c r="I25" s="51">
        <f>V40</f>
        <v>120</v>
      </c>
      <c r="J25" s="18" t="s">
        <v>45</v>
      </c>
      <c r="K25" s="18"/>
      <c r="L25" s="22"/>
      <c r="M25" s="1"/>
      <c r="O25" s="28" t="b">
        <v>0</v>
      </c>
      <c r="P25" s="34" t="s">
        <v>55</v>
      </c>
      <c r="Q25" s="36">
        <v>22736.552449728213</v>
      </c>
      <c r="R25" s="36">
        <v>16812.778802186389</v>
      </c>
      <c r="S25" s="38" t="e">
        <f>IF(J21,R25,Q25)</f>
        <v>#VALUE!</v>
      </c>
      <c r="T25" s="37">
        <f t="shared" si="0"/>
        <v>0</v>
      </c>
      <c r="U25" s="28" t="b">
        <v>0</v>
      </c>
      <c r="V25" s="34" t="s">
        <v>55</v>
      </c>
      <c r="W25" s="36">
        <v>19703.601554443703</v>
      </c>
      <c r="X25" s="35">
        <v>15484.088036520512</v>
      </c>
      <c r="Y25" s="38" t="e">
        <f>IF(P21,X25,W25)</f>
        <v>#VALUE!</v>
      </c>
      <c r="BC25" s="28" t="b">
        <v>0</v>
      </c>
      <c r="BD25" s="34" t="s">
        <v>55</v>
      </c>
      <c r="BE25" s="36">
        <v>19704</v>
      </c>
      <c r="BF25" s="36">
        <v>15484</v>
      </c>
      <c r="BG25" s="38">
        <f>IF(AF21,BF25,BE25)</f>
        <v>19704</v>
      </c>
      <c r="BH25" s="110"/>
      <c r="BI25" s="28" t="b">
        <v>0</v>
      </c>
      <c r="BJ25" s="34" t="s">
        <v>55</v>
      </c>
      <c r="BK25" s="36">
        <v>19703.601554443703</v>
      </c>
      <c r="BL25" s="35">
        <v>15484.088036520512</v>
      </c>
      <c r="BM25" s="38" t="e">
        <f>IF(BD21,BL25,BK25)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26"/>
      <c r="C26" s="18"/>
      <c r="D26" s="18"/>
      <c r="E26" s="18"/>
      <c r="F26" s="18"/>
      <c r="G26" s="18"/>
      <c r="H26" s="18" t="s">
        <v>47</v>
      </c>
      <c r="I26" s="52">
        <f>IF(I24=0,0,(V35*I18*I19*P35)/(I20*I24*I25))</f>
        <v>0.90061707240708633</v>
      </c>
      <c r="J26" s="18"/>
      <c r="K26" s="18"/>
      <c r="L26" s="22"/>
      <c r="M26" s="1"/>
      <c r="O26" s="28"/>
      <c r="P26" s="34" t="s">
        <v>56</v>
      </c>
      <c r="Q26" s="36">
        <v>24296.978546368195</v>
      </c>
      <c r="R26" s="36">
        <v>18505.830254940131</v>
      </c>
      <c r="S26" s="23"/>
      <c r="T26" s="53">
        <f>SUM(T10:T25)</f>
        <v>0</v>
      </c>
      <c r="U26" s="28"/>
      <c r="V26" s="34" t="s">
        <v>56</v>
      </c>
      <c r="W26" s="36">
        <v>20565.772871778488</v>
      </c>
      <c r="X26" s="35">
        <v>16670.719070091207</v>
      </c>
      <c r="Y26" s="23"/>
      <c r="BC26" s="28"/>
      <c r="BD26" s="34" t="s">
        <v>56</v>
      </c>
      <c r="BE26" s="36">
        <v>20566</v>
      </c>
      <c r="BF26" s="36">
        <v>16671</v>
      </c>
      <c r="BG26" s="23"/>
      <c r="BH26" s="111"/>
      <c r="BI26" s="28"/>
      <c r="BJ26" s="34" t="s">
        <v>56</v>
      </c>
      <c r="BK26" s="36">
        <v>20565.772871778488</v>
      </c>
      <c r="BL26" s="35">
        <v>16670.719070091207</v>
      </c>
      <c r="BM26" s="23"/>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26"/>
      <c r="C27" s="32" t="s">
        <v>57</v>
      </c>
      <c r="D27" s="32"/>
      <c r="E27" s="54"/>
      <c r="F27" s="54"/>
      <c r="G27" s="54"/>
      <c r="H27" s="54"/>
      <c r="I27" s="54"/>
      <c r="J27" s="54"/>
      <c r="K27" s="54"/>
      <c r="L27" s="22"/>
      <c r="M27" s="1"/>
      <c r="O27" s="1"/>
      <c r="P27" s="34" t="s">
        <v>58</v>
      </c>
      <c r="Q27" s="36">
        <v>26706.19735670698</v>
      </c>
      <c r="R27" s="36">
        <v>21390.924878610775</v>
      </c>
      <c r="S27" s="1"/>
      <c r="U27" s="1"/>
      <c r="V27" s="34" t="s">
        <v>58</v>
      </c>
      <c r="W27" s="36">
        <v>22185.168329180666</v>
      </c>
      <c r="X27" s="35">
        <v>18755.88411632373</v>
      </c>
      <c r="Y27" s="1"/>
      <c r="BC27" s="1"/>
      <c r="BD27" s="34" t="s">
        <v>58</v>
      </c>
      <c r="BE27" s="36">
        <v>22185</v>
      </c>
      <c r="BF27" s="36">
        <v>18756</v>
      </c>
      <c r="BG27" s="1"/>
      <c r="BH27" s="109"/>
      <c r="BI27" s="1"/>
      <c r="BJ27" s="34" t="s">
        <v>58</v>
      </c>
      <c r="BK27" s="36">
        <v>22185.168329180666</v>
      </c>
      <c r="BL27" s="35">
        <v>18755.88411632373</v>
      </c>
      <c r="BM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26"/>
      <c r="C28" s="32" t="s">
        <v>59</v>
      </c>
      <c r="D28" s="32"/>
      <c r="E28" s="32"/>
      <c r="F28" s="18" t="s">
        <v>60</v>
      </c>
      <c r="G28" s="19"/>
      <c r="H28" s="18" t="s">
        <v>61</v>
      </c>
      <c r="I28" s="52">
        <f>1/(1+I23)</f>
        <v>0.76910907795127104</v>
      </c>
      <c r="J28" s="18"/>
      <c r="K28" s="18"/>
      <c r="L28" s="22"/>
      <c r="M28" s="1"/>
      <c r="O28" s="1"/>
      <c r="P28" s="34" t="s">
        <v>62</v>
      </c>
      <c r="Q28" s="36">
        <v>28033.098596050248</v>
      </c>
      <c r="R28" s="36">
        <v>23451.381130906164</v>
      </c>
      <c r="S28" s="1"/>
      <c r="U28" s="1"/>
      <c r="V28" s="34" t="s">
        <v>62</v>
      </c>
      <c r="W28" s="36">
        <v>22965.457796147002</v>
      </c>
      <c r="X28" s="35">
        <v>20093.248110190139</v>
      </c>
      <c r="Y28" s="1"/>
      <c r="BC28" s="1"/>
      <c r="BD28" s="34" t="s">
        <v>62</v>
      </c>
      <c r="BE28" s="36">
        <v>22965</v>
      </c>
      <c r="BF28" s="36">
        <v>20093</v>
      </c>
      <c r="BG28" s="1"/>
      <c r="BH28" s="109"/>
      <c r="BI28" s="1"/>
      <c r="BJ28" s="34" t="s">
        <v>62</v>
      </c>
      <c r="BK28" s="36">
        <v>22965.457796147002</v>
      </c>
      <c r="BL28" s="35">
        <v>20093.248110190139</v>
      </c>
      <c r="BM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26"/>
      <c r="C29" s="18"/>
      <c r="D29" s="18"/>
      <c r="E29" s="18"/>
      <c r="F29" s="19" t="s">
        <v>63</v>
      </c>
      <c r="G29" s="18"/>
      <c r="H29" s="18" t="s">
        <v>61</v>
      </c>
      <c r="I29" s="52">
        <f>1/(1+I26)</f>
        <v>0.52614491078601322</v>
      </c>
      <c r="J29" s="18"/>
      <c r="K29" s="18"/>
      <c r="L29" s="22"/>
      <c r="M29" s="1"/>
      <c r="O29" s="1"/>
      <c r="P29" s="34" t="s">
        <v>64</v>
      </c>
      <c r="Q29" s="36">
        <v>28303.977676149876</v>
      </c>
      <c r="R29" s="36">
        <v>23491.919640749085</v>
      </c>
      <c r="S29" s="1"/>
      <c r="U29" s="1"/>
      <c r="V29" s="34" t="s">
        <v>64</v>
      </c>
      <c r="W29" s="36">
        <v>24136.570700104439</v>
      </c>
      <c r="X29" s="35">
        <v>21766.303843785976</v>
      </c>
      <c r="Y29" s="1"/>
      <c r="BC29" s="1"/>
      <c r="BD29" s="34" t="s">
        <v>64</v>
      </c>
      <c r="BE29" s="36">
        <v>24137</v>
      </c>
      <c r="BF29" s="36">
        <v>21766</v>
      </c>
      <c r="BG29" s="1"/>
      <c r="BH29" s="109"/>
      <c r="BI29" s="1"/>
      <c r="BJ29" s="34" t="s">
        <v>64</v>
      </c>
      <c r="BK29" s="36">
        <v>24136.570700104439</v>
      </c>
      <c r="BL29" s="35">
        <v>21766.303843785976</v>
      </c>
      <c r="BM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177" t="s">
        <v>65</v>
      </c>
      <c r="C30" s="178"/>
      <c r="D30" s="178"/>
      <c r="E30" s="178"/>
      <c r="F30" s="178"/>
      <c r="G30" s="18"/>
      <c r="H30" s="18"/>
      <c r="I30" s="18"/>
      <c r="J30" s="18"/>
      <c r="K30" s="18"/>
      <c r="L30" s="22"/>
      <c r="M30" s="1"/>
      <c r="O30" s="1"/>
      <c r="P30" s="112" t="s">
        <v>66</v>
      </c>
      <c r="Q30" s="36">
        <v>31490.635722979987</v>
      </c>
      <c r="R30" s="36">
        <v>28778.914851613878</v>
      </c>
      <c r="S30" s="1"/>
      <c r="U30" s="1"/>
      <c r="V30" s="112" t="s">
        <v>66</v>
      </c>
      <c r="W30" s="36">
        <v>25278.006958277936</v>
      </c>
      <c r="X30" s="35">
        <v>23477.736376579767</v>
      </c>
      <c r="Y30" s="1"/>
      <c r="BC30" s="1"/>
      <c r="BD30" s="112" t="s">
        <v>66</v>
      </c>
      <c r="BE30" s="36">
        <v>25278</v>
      </c>
      <c r="BF30" s="36">
        <v>23478</v>
      </c>
      <c r="BG30" s="1"/>
      <c r="BH30" s="109"/>
      <c r="BI30" s="1"/>
      <c r="BJ30" s="112" t="s">
        <v>66</v>
      </c>
      <c r="BK30" s="36">
        <v>25278.006958277936</v>
      </c>
      <c r="BL30" s="35">
        <v>23477.736376579767</v>
      </c>
      <c r="BM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26"/>
      <c r="C31" s="18"/>
      <c r="D31" s="18"/>
      <c r="E31" s="18"/>
      <c r="F31" s="18"/>
      <c r="G31" s="18"/>
      <c r="H31" s="18"/>
      <c r="I31" s="18"/>
      <c r="J31" s="18"/>
      <c r="K31" s="18"/>
      <c r="L31" s="22"/>
      <c r="M31" s="1"/>
      <c r="O31" s="1"/>
      <c r="P31" s="1"/>
      <c r="Q31" s="1"/>
      <c r="R31" s="1"/>
      <c r="S31" s="1"/>
      <c r="U31" s="1"/>
      <c r="V31" s="1"/>
      <c r="W31" s="1"/>
      <c r="X31" s="1"/>
      <c r="Y31" s="1"/>
      <c r="BC31" s="1"/>
      <c r="BD31" s="1"/>
      <c r="BE31" s="1"/>
      <c r="BF31" s="1"/>
      <c r="BG31" s="1"/>
      <c r="BH31" s="109"/>
      <c r="BI31" s="1"/>
      <c r="BJ31" s="1"/>
      <c r="BK31" s="1"/>
      <c r="BL31" s="1"/>
      <c r="BM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17" t="s">
        <v>67</v>
      </c>
      <c r="C32" s="18"/>
      <c r="D32" s="18"/>
      <c r="E32" s="18"/>
      <c r="F32" s="18"/>
      <c r="G32" s="18"/>
      <c r="H32" s="18"/>
      <c r="I32" s="18"/>
      <c r="J32" s="55">
        <f>I19*I28</f>
        <v>15382.181559025421</v>
      </c>
      <c r="K32" s="32" t="s">
        <v>27</v>
      </c>
      <c r="L32" s="22"/>
      <c r="M32" s="1"/>
      <c r="O32" s="56"/>
      <c r="P32" s="56"/>
      <c r="Q32" s="56"/>
      <c r="R32" s="56"/>
      <c r="S32" s="56"/>
      <c r="U32" s="56"/>
      <c r="V32" s="56"/>
      <c r="W32" s="56"/>
      <c r="X32" s="56"/>
      <c r="Y32" s="56"/>
      <c r="BC32" s="109"/>
      <c r="BD32" s="109"/>
      <c r="BE32" s="109"/>
      <c r="BF32" s="109"/>
      <c r="BG32" s="109"/>
      <c r="BH32" s="109"/>
      <c r="BI32" s="109"/>
      <c r="BJ32" s="109"/>
      <c r="BK32" s="109"/>
      <c r="BL32" s="109"/>
      <c r="BM32" s="109"/>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17" t="s">
        <v>68</v>
      </c>
      <c r="C33" s="18"/>
      <c r="D33" s="18"/>
      <c r="E33" s="18"/>
      <c r="F33" s="18"/>
      <c r="G33" s="18"/>
      <c r="H33" s="18"/>
      <c r="I33" s="18"/>
      <c r="J33" s="55">
        <f>I19*I29</f>
        <v>10522.898215720264</v>
      </c>
      <c r="K33" s="32" t="s">
        <v>27</v>
      </c>
      <c r="L33" s="22"/>
      <c r="M33" s="1"/>
      <c r="O33" s="56"/>
      <c r="P33" s="57"/>
      <c r="Q33" s="57" t="s">
        <v>69</v>
      </c>
      <c r="R33" s="57"/>
      <c r="S33" s="57"/>
      <c r="T33" s="58"/>
      <c r="U33" s="57"/>
      <c r="V33" s="57"/>
      <c r="W33" s="57"/>
      <c r="X33" s="57"/>
      <c r="Y33" s="57"/>
      <c r="Z33" s="58"/>
      <c r="AA33" s="59">
        <f>U34</f>
        <v>2</v>
      </c>
      <c r="AB33" s="58"/>
      <c r="AC33" s="58"/>
      <c r="BC33" s="109"/>
      <c r="BD33" s="109"/>
      <c r="BE33" s="109"/>
      <c r="BF33" s="109"/>
      <c r="BG33" s="109"/>
      <c r="BH33" s="109"/>
      <c r="BI33" s="109"/>
      <c r="BJ33" s="109"/>
      <c r="BK33" s="109"/>
      <c r="BL33" s="109"/>
      <c r="BM33" s="109"/>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60"/>
      <c r="C34" s="61"/>
      <c r="D34" s="61"/>
      <c r="E34" s="61"/>
      <c r="F34" s="61"/>
      <c r="G34" s="61"/>
      <c r="H34" s="61"/>
      <c r="I34" s="61"/>
      <c r="J34" s="61"/>
      <c r="K34" s="61"/>
      <c r="L34" s="62"/>
      <c r="M34" s="1"/>
      <c r="O34" s="56"/>
      <c r="P34" s="57">
        <v>3</v>
      </c>
      <c r="Q34" s="57">
        <v>0</v>
      </c>
      <c r="R34" s="57" t="s">
        <v>70</v>
      </c>
      <c r="S34" s="57">
        <f>IF($P$34=2,R48,0)</f>
        <v>0</v>
      </c>
      <c r="T34" s="63">
        <f>IF($P$34=2,R47,0)</f>
        <v>0</v>
      </c>
      <c r="U34" s="57">
        <v>2</v>
      </c>
      <c r="V34" s="57">
        <f>CHOOSE(U34,0,240,220,208,208,220,380,416,480,480,600)</f>
        <v>240</v>
      </c>
      <c r="W34" s="57" t="s">
        <v>71</v>
      </c>
      <c r="X34" s="57"/>
      <c r="Y34" s="57"/>
      <c r="Z34" s="58"/>
      <c r="AA34" s="58"/>
      <c r="AB34" s="58"/>
      <c r="AC34" s="58"/>
      <c r="BC34" s="109"/>
      <c r="BD34" s="109"/>
      <c r="BE34" s="109"/>
      <c r="BF34" s="109"/>
      <c r="BG34" s="109"/>
      <c r="BH34" s="109"/>
      <c r="BI34" s="109"/>
      <c r="BJ34" s="109"/>
      <c r="BK34" s="109"/>
      <c r="BL34" s="109"/>
      <c r="BM34" s="109"/>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6"/>
      <c r="P35" s="57">
        <f>CHOOSE(U34,0,Q35,Q36,Q37,Q38,Q39,Q40,Q41,Q42,Q43,Q44)</f>
        <v>1.5</v>
      </c>
      <c r="Q35" s="134">
        <v>1.5</v>
      </c>
      <c r="R35" s="57" t="s">
        <v>72</v>
      </c>
      <c r="S35" s="57">
        <f>IF($P$34=3,S48,0)</f>
        <v>18505.830254940131</v>
      </c>
      <c r="T35" s="63">
        <f>IF($P$34=3,S47,0)</f>
        <v>18505.830254940131</v>
      </c>
      <c r="U35" s="57"/>
      <c r="V35" s="57">
        <f>CHOOSE(U34,0,2,2,2,1.732,1.732,1.732,1.732,2,1.732,1.732)</f>
        <v>2</v>
      </c>
      <c r="W35" s="57" t="s">
        <v>73</v>
      </c>
      <c r="X35" s="57"/>
      <c r="Y35" s="57"/>
      <c r="Z35" s="58"/>
      <c r="AA35" s="58"/>
      <c r="AB35" s="58"/>
      <c r="AC35" s="58"/>
      <c r="BC35" s="109"/>
      <c r="BD35" s="109"/>
      <c r="BE35" s="109"/>
      <c r="BF35" s="109"/>
      <c r="BG35" s="109"/>
      <c r="BH35" s="109"/>
      <c r="BI35" s="109"/>
      <c r="BJ35" s="109"/>
      <c r="BK35" s="109"/>
      <c r="BL35" s="109"/>
      <c r="BM35" s="109"/>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7"/>
      <c r="K36" s="7"/>
      <c r="L36" s="64"/>
      <c r="M36" s="1"/>
      <c r="P36" s="58" t="s">
        <v>131</v>
      </c>
      <c r="Q36" s="134">
        <v>1.5</v>
      </c>
      <c r="R36" s="58" t="s">
        <v>74</v>
      </c>
      <c r="S36" s="57">
        <f>IF($P$34=4,X48,0)</f>
        <v>0</v>
      </c>
      <c r="T36" s="63">
        <f>IF($P$34=4,X47,0)</f>
        <v>0</v>
      </c>
      <c r="U36" s="58"/>
      <c r="V36" s="57" t="str">
        <f>CHOOSE(U34,0,"E","E","E","E x 1.732","E x 1.732","E x 1.732","E x 1.732","E","E x 1.732","E x 1.732","E x 1.732")</f>
        <v>E</v>
      </c>
      <c r="W36" s="57" t="s">
        <v>117</v>
      </c>
      <c r="X36" s="57"/>
      <c r="Y36" s="57"/>
      <c r="Z36" s="58"/>
      <c r="AA36" s="58"/>
      <c r="AB36" s="58"/>
      <c r="AC36" s="58"/>
      <c r="BC36" s="109"/>
      <c r="BD36" s="109"/>
      <c r="BE36" s="109"/>
      <c r="BF36" s="109"/>
      <c r="BG36" s="109"/>
      <c r="BH36" s="109"/>
      <c r="BI36" s="109"/>
      <c r="BJ36" s="109"/>
      <c r="BK36" s="109"/>
      <c r="BL36" s="109"/>
      <c r="BM36" s="109"/>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6" t="s">
        <v>76</v>
      </c>
      <c r="C37" s="18"/>
      <c r="D37" s="180" t="s">
        <v>136</v>
      </c>
      <c r="E37" s="195"/>
      <c r="F37" s="195"/>
      <c r="G37" s="195"/>
      <c r="H37" s="195"/>
      <c r="I37" s="196"/>
      <c r="J37" s="18"/>
      <c r="K37" s="18"/>
      <c r="L37" s="22"/>
      <c r="M37" s="1"/>
      <c r="P37" s="58"/>
      <c r="Q37" s="134">
        <v>1</v>
      </c>
      <c r="R37" s="58" t="s">
        <v>78</v>
      </c>
      <c r="S37" s="57">
        <f>IF($P$34=5,Y48,0)</f>
        <v>0</v>
      </c>
      <c r="T37" s="63">
        <f>IF($P$34=5,Y47,0)</f>
        <v>0</v>
      </c>
      <c r="U37" s="58"/>
      <c r="V37" s="57">
        <f>CHOOSE(U34,0,I8*1000/I9,I8*1000/I9,I8*1000/I9,I8*1000/(I9*1.732),I8*1000/(I9*1.732),I8*1000/(I9*1.732),I8*1000/(I9*1.732),I8*1000/I9,I8*1000/(I9*1.732),I8*1000/(I9*1.732))</f>
        <v>0</v>
      </c>
      <c r="W37" s="57" t="s">
        <v>75</v>
      </c>
      <c r="X37" s="66"/>
      <c r="Y37" s="66"/>
      <c r="Z37" s="58"/>
      <c r="AA37" s="58"/>
      <c r="AB37" s="58"/>
      <c r="AC37" s="58"/>
      <c r="BC37" s="109"/>
      <c r="BD37" s="109"/>
      <c r="BE37" s="109"/>
      <c r="BF37" s="109"/>
      <c r="BG37" s="109"/>
      <c r="BH37" s="109"/>
      <c r="BI37" s="109"/>
      <c r="BJ37" s="109"/>
      <c r="BK37" s="109"/>
      <c r="BL37" s="109"/>
      <c r="BM37" s="109"/>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P38" s="58"/>
      <c r="Q38" s="134">
        <v>1</v>
      </c>
      <c r="R38" s="58"/>
      <c r="S38" s="58"/>
      <c r="T38" s="58"/>
      <c r="U38" s="58"/>
      <c r="V38" s="58"/>
      <c r="W38" s="65" t="s">
        <v>79</v>
      </c>
      <c r="X38" s="58"/>
      <c r="Z38" s="58"/>
      <c r="AA38" s="58"/>
      <c r="AC38" s="58"/>
      <c r="AD38" s="68"/>
      <c r="BC38" s="109"/>
      <c r="BD38" s="109"/>
      <c r="BE38" s="109"/>
      <c r="BF38" s="109"/>
      <c r="BG38" s="109"/>
      <c r="BH38" s="109"/>
      <c r="BI38" s="109"/>
      <c r="BJ38" s="109"/>
      <c r="BK38" s="109"/>
      <c r="BL38" s="109"/>
      <c r="BM38" s="109"/>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183" t="str">
        <f>AM51</f>
        <v>Single Phase Feeder</v>
      </c>
      <c r="C39" s="184"/>
      <c r="D39" s="184"/>
      <c r="E39" s="185"/>
      <c r="F39" s="186" t="str">
        <f>IF(AP51=1,"Length (distance)"," ")</f>
        <v>Length (distance)</v>
      </c>
      <c r="G39" s="187"/>
      <c r="H39" s="18" t="s">
        <v>30</v>
      </c>
      <c r="I39" s="21">
        <v>100</v>
      </c>
      <c r="J39" s="18"/>
      <c r="K39" s="18"/>
      <c r="L39" s="22"/>
      <c r="M39" s="1"/>
      <c r="P39" s="58"/>
      <c r="Q39" s="134">
        <v>1</v>
      </c>
      <c r="R39" s="58"/>
      <c r="S39" s="58"/>
      <c r="T39" s="58"/>
      <c r="U39" s="58"/>
      <c r="V39" s="58"/>
      <c r="W39" s="65" t="s">
        <v>118</v>
      </c>
      <c r="X39" s="58"/>
      <c r="Z39" s="58"/>
      <c r="AA39" s="58"/>
      <c r="AC39" s="58"/>
      <c r="BC39" s="109"/>
      <c r="BD39" s="109"/>
      <c r="BE39" s="109"/>
      <c r="BF39" s="109"/>
      <c r="BG39" s="109"/>
      <c r="BH39" s="109"/>
      <c r="BI39" s="109"/>
      <c r="BJ39" s="109"/>
      <c r="BK39" s="109"/>
      <c r="BL39" s="109"/>
      <c r="BM39" s="109"/>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149" t="s">
        <v>31</v>
      </c>
      <c r="C40" s="32" t="str">
        <f>V50</f>
        <v xml:space="preserve">        2 x L x I</v>
      </c>
      <c r="D40" s="32"/>
      <c r="E40" s="32"/>
      <c r="F40" s="18" t="str">
        <f>IF(AP51=1,"      (ASC)"," ")</f>
        <v xml:space="preserve">      (ASC)</v>
      </c>
      <c r="G40" s="18"/>
      <c r="H40" s="18" t="s">
        <v>33</v>
      </c>
      <c r="I40" s="47">
        <f>IF(AP51=1,J32," ")</f>
        <v>15382.181559025421</v>
      </c>
      <c r="J40" s="18" t="str">
        <f>IF(AP51=1," Phase"," ")</f>
        <v xml:space="preserve"> Phase</v>
      </c>
      <c r="K40" s="47">
        <f>IF(AP51=1,J33," ")</f>
        <v>10522.898215720264</v>
      </c>
      <c r="L40" s="22" t="str">
        <f>IF(AP51=1," Neutral"," ")</f>
        <v xml:space="preserve"> Neutral</v>
      </c>
      <c r="M40" s="1"/>
      <c r="P40" s="58" t="s">
        <v>132</v>
      </c>
      <c r="Q40" s="134">
        <v>1</v>
      </c>
      <c r="R40" s="58"/>
      <c r="S40" s="58">
        <f>SUM(S34:S37)</f>
        <v>18505.830254940131</v>
      </c>
      <c r="T40" s="67">
        <f>SUM(T34:T37)</f>
        <v>18505.830254940131</v>
      </c>
      <c r="U40" s="58"/>
      <c r="V40" s="57">
        <f>CHOOSE(U34,0,120,127,120,120,127,220,240,277,277,347)</f>
        <v>120</v>
      </c>
      <c r="W40" s="65" t="s">
        <v>111</v>
      </c>
      <c r="X40" s="58"/>
      <c r="Y40" s="58"/>
      <c r="Z40" s="58"/>
      <c r="AA40" s="58"/>
      <c r="AB40" s="58"/>
      <c r="BC40" s="109"/>
      <c r="BD40" s="109"/>
      <c r="BE40" s="109"/>
      <c r="BF40" s="109"/>
      <c r="BG40" s="109"/>
      <c r="BH40" s="109"/>
      <c r="BI40" s="109"/>
      <c r="BJ40" s="109"/>
      <c r="BK40" s="109"/>
      <c r="BL40" s="109"/>
      <c r="BM40" s="109"/>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150"/>
      <c r="C41" s="32" t="s">
        <v>35</v>
      </c>
      <c r="D41" s="32"/>
      <c r="E41" s="32"/>
      <c r="F41" s="48" t="str">
        <f>IF(AP51=1,"# conductors per phase"," ")</f>
        <v># conductors per phase</v>
      </c>
      <c r="G41" s="18"/>
      <c r="H41" s="18" t="s">
        <v>37</v>
      </c>
      <c r="I41" s="21">
        <v>1</v>
      </c>
      <c r="J41" s="49"/>
      <c r="K41" s="18"/>
      <c r="L41" s="22"/>
      <c r="M41" s="1"/>
      <c r="P41" s="58"/>
      <c r="Q41" s="134">
        <v>1</v>
      </c>
      <c r="R41" s="58"/>
      <c r="S41" s="58"/>
      <c r="T41" s="58"/>
      <c r="U41" s="58"/>
      <c r="V41" s="57">
        <f>CHOOSE(U34,0,240,220,208,208,220,380,416,480,480,600)</f>
        <v>240</v>
      </c>
      <c r="W41" s="65" t="s">
        <v>115</v>
      </c>
      <c r="X41" s="58"/>
      <c r="Y41" s="58"/>
      <c r="Z41" s="58"/>
      <c r="AA41" s="58"/>
      <c r="AB41" s="58"/>
      <c r="AC41" t="s">
        <v>119</v>
      </c>
      <c r="AD41">
        <f>CHOOSE($U$34,0,-1,-1,-1,1,1,1,1,-1,1,1)</f>
        <v>-1</v>
      </c>
      <c r="BC41" s="109"/>
      <c r="BD41" s="109"/>
      <c r="BE41" s="109"/>
      <c r="BF41" s="109"/>
      <c r="BG41" s="109"/>
      <c r="BH41" s="109"/>
      <c r="BI41" s="109"/>
      <c r="BJ41" s="109"/>
      <c r="BK41" s="109"/>
      <c r="BL41" s="109"/>
      <c r="BM41" s="109"/>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137" t="str">
        <f>IF(AP51=1,"    Phase conductor constant"," ")</f>
        <v xml:space="preserve">    Phase conductor constant</v>
      </c>
      <c r="F42" s="138"/>
      <c r="G42" s="137"/>
      <c r="H42" s="18" t="s">
        <v>40</v>
      </c>
      <c r="I42" s="50">
        <f>IF(AP51=1,AI55," ")</f>
        <v>16673.221457441254</v>
      </c>
      <c r="J42" s="73" t="str">
        <f>IF(AP51=1,J21," ")</f>
        <v>Phase Conductor</v>
      </c>
      <c r="K42" s="18"/>
      <c r="L42" s="22"/>
      <c r="M42" s="1"/>
      <c r="P42" s="58"/>
      <c r="Q42" s="134">
        <v>1.5</v>
      </c>
      <c r="R42" s="58"/>
      <c r="S42" s="58"/>
      <c r="T42" s="58"/>
      <c r="U42" s="58"/>
      <c r="V42" s="58"/>
      <c r="W42" s="57" t="s">
        <v>80</v>
      </c>
      <c r="X42" s="58"/>
      <c r="Y42" s="58"/>
      <c r="Z42" s="58"/>
      <c r="AA42" s="58"/>
      <c r="AC42" t="s">
        <v>120</v>
      </c>
      <c r="AD42">
        <f>IF(U50=2,0,1)</f>
        <v>1</v>
      </c>
      <c r="BC42" s="109"/>
      <c r="BD42" s="109"/>
      <c r="BE42" s="109"/>
      <c r="BF42" s="109"/>
      <c r="BG42" s="109"/>
      <c r="BH42" s="109"/>
      <c r="BI42" s="109"/>
      <c r="BJ42" s="109"/>
      <c r="BK42" s="109"/>
      <c r="BL42" s="109"/>
      <c r="BM42" s="109"/>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tr">
        <f>IF(AP51=1,"Volt Line to Line"," ")</f>
        <v>Volt Line to Line</v>
      </c>
      <c r="G43" s="18"/>
      <c r="H43" s="18" t="s">
        <v>44</v>
      </c>
      <c r="I43" s="76">
        <f>IF(AP51=1,$V$41," ")</f>
        <v>240</v>
      </c>
      <c r="J43" s="18" t="str">
        <f>IF(AP51=1,"Volt"," ")</f>
        <v>Volt</v>
      </c>
      <c r="K43" s="18"/>
      <c r="L43" s="22"/>
      <c r="M43" s="1"/>
      <c r="Q43" s="134">
        <v>1</v>
      </c>
      <c r="W43" s="65" t="s">
        <v>81</v>
      </c>
      <c r="Z43" s="58"/>
      <c r="AA43" s="58"/>
      <c r="BC43" s="109"/>
      <c r="BD43" s="109"/>
      <c r="BE43" s="109"/>
      <c r="BF43" s="109"/>
      <c r="BG43" s="109"/>
      <c r="BH43" s="109"/>
      <c r="BI43" s="109"/>
      <c r="BJ43" s="109"/>
      <c r="BK43" s="109"/>
      <c r="BL43" s="109"/>
      <c r="BM43" s="109"/>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52">
        <f>IF(I42=0,0,(V51*I39*AB19*I40)/(I41*I42*I43))</f>
        <v>0.76880671592113348</v>
      </c>
      <c r="J44" s="18"/>
      <c r="K44" s="18"/>
      <c r="L44" s="22"/>
      <c r="M44" s="1"/>
      <c r="Q44" s="134">
        <v>1</v>
      </c>
      <c r="W44" s="65" t="s">
        <v>114</v>
      </c>
      <c r="Z44" s="58"/>
      <c r="AA44" s="58"/>
      <c r="AD44">
        <f>SUM(AD41:AD42)</f>
        <v>0</v>
      </c>
      <c r="AE44" t="s">
        <v>121</v>
      </c>
      <c r="BC44" s="109"/>
      <c r="BD44" s="109"/>
      <c r="BE44" s="109"/>
      <c r="BF44" s="109"/>
      <c r="BG44" s="109"/>
      <c r="BH44" s="109"/>
      <c r="BI44" s="109"/>
      <c r="BJ44" s="109"/>
      <c r="BK44" s="109"/>
      <c r="BL44" s="109"/>
      <c r="BM44" s="109"/>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137" t="str">
        <f>IF(AP51=1,"   Neutral conductor constant"," ")</f>
        <v xml:space="preserve">   Neutral conductor constant</v>
      </c>
      <c r="F45" s="138"/>
      <c r="G45" s="137"/>
      <c r="H45" s="18" t="s">
        <v>40</v>
      </c>
      <c r="I45" s="50">
        <f>AJ55</f>
        <v>10248.426818658565</v>
      </c>
      <c r="J45" s="73" t="str">
        <f>IF(AP51=1,J24," ")</f>
        <v>Neutral Conductor</v>
      </c>
      <c r="K45" s="18"/>
      <c r="L45" s="22"/>
      <c r="M45" s="1"/>
      <c r="BC45" s="109"/>
      <c r="BD45" s="109"/>
      <c r="BE45" s="109"/>
      <c r="BF45" s="109"/>
      <c r="BG45" s="109"/>
      <c r="BH45" s="109"/>
      <c r="BI45" s="109"/>
      <c r="BJ45" s="109"/>
      <c r="BK45" s="109"/>
      <c r="BL45" s="109"/>
      <c r="BM45" s="109"/>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tr">
        <f>IF(AP51=1,"Volt Line to Neutral"," ")</f>
        <v>Volt Line to Neutral</v>
      </c>
      <c r="G46" s="18"/>
      <c r="H46" s="18" t="s">
        <v>54</v>
      </c>
      <c r="I46" s="76">
        <f>IF(AP51=1,$V$40," ")</f>
        <v>120</v>
      </c>
      <c r="J46" s="18" t="str">
        <f>IF(AP51=1,"Volt"," ")</f>
        <v>Volt</v>
      </c>
      <c r="K46" s="18"/>
      <c r="L46" s="22"/>
      <c r="M46" s="1"/>
      <c r="P46" s="69">
        <v>18</v>
      </c>
      <c r="Q46" s="69" t="s">
        <v>69</v>
      </c>
      <c r="R46" s="70">
        <f>CHOOSE($P$46,0,Q10,Q11,Q12,Q13,Q14,Q15,Q16,Q17,Q18,Q19,Q20,Q21,Q22,Q23,Q24,Q25,Q26,Q27,Q28,Q29,Q30)</f>
        <v>24296.978546368195</v>
      </c>
      <c r="S46" s="70">
        <f>CHOOSE($P$46,0,R10,R11,R12,R13,R14,R15,R16,R17,R18,R19,R20,R21,R22,R23,R24,R25,R26,R27,R28,R29,R30)</f>
        <v>18505.830254940131</v>
      </c>
      <c r="T46" s="65">
        <f>IF(O40,S46,0)</f>
        <v>0</v>
      </c>
      <c r="U46" s="57">
        <v>1</v>
      </c>
      <c r="V46" s="69" t="s">
        <v>84</v>
      </c>
      <c r="W46" s="69"/>
      <c r="X46" s="70">
        <f>CHOOSE($P$46,0,W10,W11,W12,W13,W14,W15,W16,W17,W18,W19,W20,W21,W22,W23,W24,W25,W26,W27,W28,W29,W30)</f>
        <v>20565.772871778488</v>
      </c>
      <c r="Y46" s="70">
        <f>CHOOSE($P$46,0,X10,X11,X12,X13,X14,X15,X16,X17,X18,X19,X20,X21,X22,X23,X24,X25,X26,X27,X28,X29,X30)</f>
        <v>16670.719070091207</v>
      </c>
      <c r="Z46" s="58"/>
      <c r="AA46" s="58"/>
      <c r="AB46" s="58"/>
      <c r="AC46" s="58"/>
      <c r="AF46" s="69">
        <v>7</v>
      </c>
      <c r="AG46" s="69"/>
      <c r="AH46" s="69">
        <f>CHOOSE($AF$46,0,Q10,Q11,Q12,Q13,Q14,Q15,Q16,Q17,Q18,Q19,Q20,Q21,Q22,Q23,Q24,Q25,Q26,Q27,Q28,Q29,Q30)</f>
        <v>3823.6321798758745</v>
      </c>
      <c r="AI46" s="69">
        <f>CHOOSE(AF46,0,R10,R11,R12,R13,R14,R15,R16,R17,R18,R19,R20,R21,R22,R23,R24,R25,R26,R27,R28,R29,R30)</f>
        <v>2349.8943710678423</v>
      </c>
      <c r="AJ46" s="77">
        <f>IF(O46,#REF!,0)</f>
        <v>0</v>
      </c>
      <c r="AK46" s="69"/>
      <c r="AL46" s="69"/>
      <c r="AM46" s="69"/>
      <c r="AN46" s="69">
        <f>CHOOSE(AF46,0,W10,W11,W12,W13,W14,W15,W16,W17,W18,W19,W20,W21,W22,W23,W24,W25,W26,W27,W28,W29,W30)</f>
        <v>3806.2231306417598</v>
      </c>
      <c r="AO46" s="69">
        <f>CHOOSE(AF46,0,X10,X11,X12,X13,X14,X15,X16,X17,X18,X19,X20,X21,X22,X23,X24,X25,X26,X27,X28,X29,X30)</f>
        <v>2345.8361144358969</v>
      </c>
      <c r="AP46" s="58"/>
      <c r="BC46" s="109"/>
      <c r="BD46" s="109"/>
      <c r="BE46" s="109"/>
      <c r="BF46" s="109"/>
      <c r="BG46" s="109"/>
      <c r="BH46" s="109"/>
      <c r="BI46" s="109"/>
      <c r="BJ46" s="109"/>
      <c r="BK46" s="109"/>
      <c r="BL46" s="109"/>
      <c r="BM46" s="109"/>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6" t="s">
        <v>52</v>
      </c>
      <c r="C47" s="18"/>
      <c r="D47" s="18"/>
      <c r="E47" s="18"/>
      <c r="F47" s="18"/>
      <c r="G47" s="18"/>
      <c r="H47" s="18" t="s">
        <v>47</v>
      </c>
      <c r="I47" s="52">
        <f>IF(I45=0,0,(V51*I39*AB19*K40)/(I41*I45*I46))</f>
        <v>1.711303012959672</v>
      </c>
      <c r="J47" s="18"/>
      <c r="K47" s="18"/>
      <c r="L47" s="22"/>
      <c r="M47" s="1"/>
      <c r="P47" s="58"/>
      <c r="Q47" s="58"/>
      <c r="R47" s="71">
        <f>SUM(R46+R48)/2</f>
        <v>24296.978546368195</v>
      </c>
      <c r="S47" s="71">
        <f>SUM(S46+S48)/2</f>
        <v>18505.830254940131</v>
      </c>
      <c r="T47" s="72">
        <f>IF(O41,S47,0)</f>
        <v>0</v>
      </c>
      <c r="U47" s="57"/>
      <c r="V47" s="57" t="str">
        <f>CHOOSE(U34,"Select Voltage","2 x L x I x (1.5N)","2 x L x I x (1.5N)","    2 x L x I","    1.732 x L x I","   1.732 x L x I","   1.732 x L x I","   1.732 x L x I","2 x L x I x (1.5N)","   1.732 x L x I","   1.732 x L x I")</f>
        <v>2 x L x I x (1.5N)</v>
      </c>
      <c r="W47" s="58"/>
      <c r="X47" s="71">
        <f>SUM(X46+X48)/2</f>
        <v>20565.772871778488</v>
      </c>
      <c r="Y47" s="71">
        <f>SUM(Y46+Y48)/2</f>
        <v>16670.719070091207</v>
      </c>
      <c r="Z47" s="58"/>
      <c r="AA47" s="58"/>
      <c r="AB47" s="59"/>
      <c r="AC47" s="58"/>
      <c r="AF47" s="58"/>
      <c r="AG47" s="58"/>
      <c r="AH47" s="71">
        <f>SUM(AH46+AH49)/2</f>
        <v>10248.426818658565</v>
      </c>
      <c r="AI47" s="71">
        <f>SUM(AI46+AI49)/2</f>
        <v>6762.1845992283816</v>
      </c>
      <c r="AJ47" s="66">
        <f>IF(O47,#REF!,0)</f>
        <v>0</v>
      </c>
      <c r="AK47" s="58"/>
      <c r="AL47" s="58"/>
      <c r="AM47" s="58"/>
      <c r="AN47" s="71">
        <f>SUM(AN46+AN49)/2</f>
        <v>9444.2808964865653</v>
      </c>
      <c r="AO47" s="71">
        <f>SUM(AO46+AO49)/2</f>
        <v>6543.4129854703388</v>
      </c>
      <c r="AP47" s="58"/>
      <c r="BC47" s="109"/>
      <c r="BD47" s="109"/>
      <c r="BE47" s="109"/>
      <c r="BF47" s="109"/>
      <c r="BG47" s="109"/>
      <c r="BH47" s="109"/>
      <c r="BI47" s="109"/>
      <c r="BJ47" s="109"/>
      <c r="BK47" s="109"/>
      <c r="BL47" s="109"/>
      <c r="BM47" s="109"/>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P48" s="59">
        <v>18</v>
      </c>
      <c r="Q48" s="74" t="s">
        <v>85</v>
      </c>
      <c r="R48" s="75">
        <f>CHOOSE($P$48,0,Q10,Q11,Q12,Q13,Q14,Q15,Q16,Q17,Q18,Q19,Q20,Q21,Q22,Q23,Q24,Q25,Q26,Q27,Q28,Q29,Q30)</f>
        <v>24296.978546368195</v>
      </c>
      <c r="S48" s="75">
        <f>CHOOSE($P$48,0,R10,R11,R12,R13,R14,R15,R16,R17,R18,R19,R20,R21,R22,R23,R24,R25,R26,R27,R28,R29,R30)</f>
        <v>18505.830254940131</v>
      </c>
      <c r="T48" s="65">
        <f>IF(O42,#REF!,0)</f>
        <v>0</v>
      </c>
      <c r="U48" s="57"/>
      <c r="V48" s="59" t="s">
        <v>86</v>
      </c>
      <c r="W48" s="74" t="b">
        <v>1</v>
      </c>
      <c r="X48" s="75">
        <f>CHOOSE($P$48,0,W10,W11,W12,W13,W14,W15,W16,W17,W18,W19,W20,W21,W22,W23,W24,W25,W26,W27,W28,W29,W30)</f>
        <v>20565.772871778488</v>
      </c>
      <c r="Y48" s="75">
        <f>CHOOSE($P$48,0,X10,X11,X12,X13,X14,X15,X16,X17,X18,X19,X20,X21,X22,X23,X24,X25,X26,X27,X28,X29,X30)</f>
        <v>16670.719070091207</v>
      </c>
      <c r="Z48" s="58"/>
      <c r="AA48" s="58"/>
      <c r="AB48" s="58"/>
      <c r="AC48" s="58"/>
      <c r="AF48" s="59"/>
      <c r="AG48" s="59"/>
      <c r="AH48" s="59"/>
      <c r="AI48" s="59"/>
      <c r="AJ48" s="78">
        <f>IF(O48,#REF!,0)</f>
        <v>0</v>
      </c>
      <c r="AK48" s="59"/>
      <c r="AL48" s="59"/>
      <c r="AM48" s="59"/>
      <c r="AN48" s="59"/>
      <c r="AO48" s="59"/>
      <c r="AP48" s="58"/>
      <c r="BC48" s="109"/>
      <c r="BD48" s="109"/>
      <c r="BE48" s="109"/>
      <c r="BF48" s="109"/>
      <c r="BG48" s="109"/>
      <c r="BH48" s="109"/>
      <c r="BI48" s="109"/>
      <c r="BJ48" s="109"/>
      <c r="BK48" s="109"/>
      <c r="BL48" s="109"/>
      <c r="BM48" s="109"/>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2" t="s">
        <v>57</v>
      </c>
      <c r="D49" s="32"/>
      <c r="E49" s="32"/>
      <c r="F49" s="18" t="str">
        <f>IF(AP51=1,"Line to Line"," ")</f>
        <v>Line to Line</v>
      </c>
      <c r="G49" s="19"/>
      <c r="H49" s="18" t="s">
        <v>61</v>
      </c>
      <c r="I49" s="52">
        <f>1/(1+I44)</f>
        <v>0.56535289638994524</v>
      </c>
      <c r="J49" s="18"/>
      <c r="K49" s="18"/>
      <c r="L49" s="22"/>
      <c r="M49" s="1"/>
      <c r="P49" s="58"/>
      <c r="Q49" s="58" t="b">
        <v>1</v>
      </c>
      <c r="R49" s="58"/>
      <c r="S49" s="58"/>
      <c r="T49" s="37">
        <f>IF(O43,#REF!,0)</f>
        <v>0</v>
      </c>
      <c r="U49" s="58"/>
      <c r="V49" s="58"/>
      <c r="W49" s="58" t="b">
        <v>1</v>
      </c>
      <c r="X49" s="58"/>
      <c r="Y49" s="58"/>
      <c r="Z49" s="58"/>
      <c r="AA49" s="58"/>
      <c r="AB49" s="67"/>
      <c r="AC49" s="58"/>
      <c r="AF49" s="59">
        <v>14</v>
      </c>
      <c r="AG49" s="74" t="b">
        <v>0</v>
      </c>
      <c r="AH49" s="59">
        <f>CHOOSE($AF$49,0,Q10,Q11,Q12,Q13,Q14,Q15,Q16,Q17,Q18,Q19,Q20,Q21,Q22,Q23,Q24,Q25,Q26,Q27,Q28,Q29,Q30)</f>
        <v>16673.221457441254</v>
      </c>
      <c r="AI49" s="59">
        <f>CHOOSE(AF49,0,R10,R11,R12,R13,R14,R15,R16,R17,R18,R19,R20,R21,R22,R23,R24,R25,R26,R27,R28,R29,R30)</f>
        <v>11174.474827388922</v>
      </c>
      <c r="AJ49" s="78">
        <f>IF(O49,#REF!,0)</f>
        <v>0</v>
      </c>
      <c r="AK49" s="59"/>
      <c r="AL49" s="59" t="s">
        <v>2</v>
      </c>
      <c r="AM49" s="74" t="b">
        <v>0</v>
      </c>
      <c r="AN49" s="59">
        <f>CHOOSE(AF49,0,W10,W11,W12,W13,W14,W15,W16,W17,W18,W19,W20,W21,W22,W23,W24,W25,W26,W27,W28,W29,W30)</f>
        <v>15082.338662331369</v>
      </c>
      <c r="AO49" s="59">
        <f>CHOOSE(AF49,0,X10,X11,X12,X13,X14,X15,X16,X17,X18,X19,X20,X21,X22,X23,X24,X25,X26,X27,X28,X29,X30)</f>
        <v>10740.989856504781</v>
      </c>
      <c r="AP49" s="58"/>
      <c r="BC49" s="109"/>
      <c r="BD49" s="109"/>
      <c r="BE49" s="109"/>
      <c r="BF49" s="109"/>
      <c r="BG49" s="109"/>
      <c r="BH49" s="109"/>
      <c r="BI49" s="109"/>
      <c r="BJ49" s="109"/>
      <c r="BK49" s="109"/>
      <c r="BL49" s="109"/>
      <c r="BM49" s="109"/>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thickBot="1">
      <c r="A50" s="1"/>
      <c r="B50" s="26"/>
      <c r="C50" s="32" t="s">
        <v>59</v>
      </c>
      <c r="D50" s="32"/>
      <c r="E50" s="32"/>
      <c r="F50" s="19" t="str">
        <f>IF(AP51=1,"Line to Neutral"," ")</f>
        <v>Line to Neutral</v>
      </c>
      <c r="G50" s="18"/>
      <c r="H50" s="18" t="s">
        <v>61</v>
      </c>
      <c r="I50" s="52">
        <f>1/(1+I47)</f>
        <v>0.36882635220782461</v>
      </c>
      <c r="J50" s="18" t="s">
        <v>2</v>
      </c>
      <c r="K50" s="18"/>
      <c r="L50" s="22"/>
      <c r="M50" s="1"/>
      <c r="P50" s="58"/>
      <c r="Q50" s="58"/>
      <c r="R50" s="58"/>
      <c r="S50" s="58"/>
      <c r="T50" s="37">
        <f>IF(O44,#REF!,0)</f>
        <v>0</v>
      </c>
      <c r="U50" s="58">
        <v>1</v>
      </c>
      <c r="V50" s="57" t="str">
        <f>CHOOSE(U50,"        2 x L x I","      1.732 x L x I")</f>
        <v xml:space="preserve">        2 x L x I</v>
      </c>
      <c r="W50" s="58" t="s">
        <v>87</v>
      </c>
      <c r="X50" s="58"/>
      <c r="Y50" s="58" t="str">
        <f>IF(U50=1,"Single Phase Feeder","Three Phase Feeder")</f>
        <v>Single Phase Feeder</v>
      </c>
      <c r="Z50" s="58"/>
      <c r="AA50" s="58"/>
      <c r="AB50" s="67"/>
      <c r="AC50" s="58"/>
      <c r="AF50" s="58"/>
      <c r="AG50" s="58"/>
      <c r="AH50" s="58"/>
      <c r="AI50" s="58"/>
      <c r="AJ50" s="37">
        <f>IF(O50,AI50,0)</f>
        <v>0</v>
      </c>
      <c r="AK50" s="58"/>
      <c r="AL50" s="58"/>
      <c r="AM50" s="58"/>
      <c r="AN50" s="58"/>
      <c r="AO50" s="58"/>
      <c r="AP50" s="58"/>
      <c r="BC50" s="109"/>
      <c r="BD50" s="109"/>
      <c r="BE50" s="109"/>
      <c r="BF50" s="109"/>
      <c r="BG50" s="109"/>
      <c r="BH50" s="109"/>
      <c r="BI50" s="109"/>
      <c r="BJ50" s="109"/>
      <c r="BK50" s="109"/>
      <c r="BL50" s="109"/>
      <c r="BM50" s="109"/>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thickBot="1">
      <c r="A51" s="1"/>
      <c r="B51" s="26"/>
      <c r="C51" s="18"/>
      <c r="D51" s="18"/>
      <c r="E51" s="18"/>
      <c r="F51" s="18"/>
      <c r="G51" s="18"/>
      <c r="H51" s="18"/>
      <c r="I51" s="18"/>
      <c r="J51" s="18"/>
      <c r="K51" s="19"/>
      <c r="L51" s="22"/>
      <c r="M51" s="1"/>
      <c r="P51" s="58"/>
      <c r="Q51" s="58"/>
      <c r="R51" s="58"/>
      <c r="S51" s="58"/>
      <c r="T51" s="37"/>
      <c r="U51" s="58"/>
      <c r="V51" s="58">
        <f>CHOOSE(U50,2,1.732)</f>
        <v>2</v>
      </c>
      <c r="W51" s="58" t="s">
        <v>88</v>
      </c>
      <c r="X51" s="58"/>
      <c r="Y51" s="58"/>
      <c r="Z51" s="58"/>
      <c r="AA51" s="58"/>
      <c r="AB51" s="58"/>
      <c r="AC51" s="58"/>
      <c r="AF51" s="58">
        <v>2</v>
      </c>
      <c r="AG51" s="58"/>
      <c r="AH51" s="57" t="s">
        <v>70</v>
      </c>
      <c r="AI51" s="57">
        <f>IF(AF51=2,AH49,0)</f>
        <v>16673.221457441254</v>
      </c>
      <c r="AJ51" s="57">
        <f>IF(AF51=2,AH47,0)</f>
        <v>10248.426818658565</v>
      </c>
      <c r="AK51" s="58"/>
      <c r="AL51" s="58"/>
      <c r="AM51" s="100" t="str">
        <f>IF(AD44&lt;0,"Error Check Above Selection",Y50)</f>
        <v>Single Phase Feeder</v>
      </c>
      <c r="AN51" s="101"/>
      <c r="AO51" s="101"/>
      <c r="AP51" s="102">
        <f>IF(AM51="Error Check Above Selection",0,1)</f>
        <v>1</v>
      </c>
      <c r="BC51" s="109"/>
      <c r="BD51" s="109"/>
      <c r="BE51" s="109"/>
      <c r="BF51" s="109"/>
      <c r="BG51" s="109"/>
      <c r="BH51" s="109"/>
      <c r="BI51" s="109"/>
      <c r="BJ51" s="109"/>
      <c r="BK51" s="109"/>
      <c r="BL51" s="109"/>
      <c r="BM51" s="109"/>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139" t="str">
        <f>IF(AP51=1," Isca  x  M  =  fault current at terminal of the panel L- L ="," ")</f>
        <v xml:space="preserve"> Isca  x  M  =  fault current at terminal of the panel L- L =</v>
      </c>
      <c r="C52" s="140"/>
      <c r="D52" s="140"/>
      <c r="E52" s="140"/>
      <c r="F52" s="140"/>
      <c r="G52" s="140"/>
      <c r="H52" s="18"/>
      <c r="I52" s="18"/>
      <c r="J52" s="55">
        <f>I40*I49</f>
        <v>8696.3608971910253</v>
      </c>
      <c r="K52" s="32" t="s">
        <v>27</v>
      </c>
      <c r="L52" s="22"/>
      <c r="M52" s="1"/>
      <c r="AF52" s="58"/>
      <c r="AG52" s="58"/>
      <c r="AH52" s="57" t="s">
        <v>72</v>
      </c>
      <c r="AI52" s="57">
        <f>IF(AF51=3,AI49,0)</f>
        <v>0</v>
      </c>
      <c r="AJ52" s="57">
        <f>IF(AF51=3,AI47,0)</f>
        <v>0</v>
      </c>
      <c r="AK52" s="58"/>
      <c r="AL52" s="58"/>
      <c r="AM52" s="57" t="s">
        <v>2</v>
      </c>
      <c r="AN52" s="57"/>
      <c r="AO52" s="57"/>
      <c r="AP52" s="58"/>
      <c r="BC52" s="109"/>
      <c r="BD52" s="109"/>
      <c r="BE52" s="109"/>
      <c r="BF52" s="109"/>
      <c r="BG52" s="109"/>
      <c r="BH52" s="109"/>
      <c r="BI52" s="109"/>
      <c r="BJ52" s="109"/>
      <c r="BK52" s="109"/>
      <c r="BL52" s="109"/>
      <c r="BM52" s="109"/>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139" t="str">
        <f>IF(AP51=1," Isca  x  M  =  fault current at terminal of the panel L- N  ="," ")</f>
        <v xml:space="preserve"> Isca  x  M  =  fault current at terminal of the panel L- N  =</v>
      </c>
      <c r="C53" s="140"/>
      <c r="D53" s="140"/>
      <c r="E53" s="140"/>
      <c r="F53" s="140"/>
      <c r="G53" s="140"/>
      <c r="H53" s="18"/>
      <c r="I53" s="18"/>
      <c r="J53" s="55">
        <f>K40*I50*1</f>
        <v>3881.1221635583315</v>
      </c>
      <c r="K53" s="32" t="s">
        <v>27</v>
      </c>
      <c r="L53" s="22"/>
      <c r="M53" s="1"/>
      <c r="AB53" s="98"/>
      <c r="AF53" s="58"/>
      <c r="AG53" s="58"/>
      <c r="AH53" s="58" t="s">
        <v>74</v>
      </c>
      <c r="AI53" s="57">
        <f>IF(AF51=4,AN49,0)</f>
        <v>0</v>
      </c>
      <c r="AJ53" s="57">
        <f>IF(AF51=4,AN47,0)</f>
        <v>0</v>
      </c>
      <c r="AK53" s="58"/>
      <c r="AL53" s="58"/>
      <c r="AM53" s="57" t="s">
        <v>2</v>
      </c>
      <c r="AN53" s="57" t="s">
        <v>2</v>
      </c>
      <c r="AO53" s="57"/>
      <c r="AP53" s="58"/>
      <c r="BC53" s="109"/>
      <c r="BD53" s="109"/>
      <c r="BE53" s="109"/>
      <c r="BF53" s="109"/>
      <c r="BG53" s="109"/>
      <c r="BH53" s="109"/>
      <c r="BI53" s="109"/>
      <c r="BJ53" s="109"/>
      <c r="BK53" s="109"/>
      <c r="BL53" s="109"/>
      <c r="BM53" s="109"/>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AF54" s="58"/>
      <c r="AG54" s="58"/>
      <c r="AH54" s="58" t="s">
        <v>78</v>
      </c>
      <c r="AI54" s="57">
        <f>IF(AF51=5,AO49,0)</f>
        <v>0</v>
      </c>
      <c r="AJ54" s="57">
        <f>IF(AF51=5,AO47,0)</f>
        <v>0</v>
      </c>
      <c r="AK54" s="58"/>
      <c r="AL54" s="58"/>
      <c r="AM54" s="57"/>
      <c r="AN54" s="66"/>
      <c r="AO54" s="66"/>
      <c r="AP54" s="58"/>
      <c r="BC54" s="109"/>
      <c r="BD54" s="109"/>
      <c r="BE54" s="109"/>
      <c r="BF54" s="109"/>
      <c r="BG54" s="109"/>
      <c r="BH54" s="109"/>
      <c r="BI54" s="109"/>
      <c r="BJ54" s="109"/>
      <c r="BK54" s="109"/>
      <c r="BL54" s="109"/>
      <c r="BM54" s="109"/>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141" t="s">
        <v>91</v>
      </c>
      <c r="D55" s="142"/>
      <c r="E55" s="142"/>
      <c r="F55" s="142"/>
      <c r="G55" s="142"/>
      <c r="H55" s="142"/>
      <c r="I55" s="142"/>
      <c r="J55" s="142"/>
      <c r="K55" s="143"/>
      <c r="L55" s="22"/>
      <c r="M55" s="1"/>
      <c r="AF55" s="58"/>
      <c r="AG55" s="58"/>
      <c r="AH55" s="58"/>
      <c r="AI55" s="71">
        <f>SUM(AI51:AI54)</f>
        <v>16673.221457441254</v>
      </c>
      <c r="AJ55" s="71">
        <f>SUM(AJ51:AJ54)</f>
        <v>10248.426818658565</v>
      </c>
      <c r="AK55" s="58"/>
      <c r="AL55" s="58"/>
      <c r="AM55" s="57"/>
      <c r="AN55" s="58"/>
      <c r="AO55" s="58"/>
      <c r="AP55" s="58"/>
      <c r="BC55" s="109"/>
      <c r="BD55" s="109"/>
      <c r="BE55" s="109"/>
      <c r="BF55" s="109"/>
      <c r="BG55" s="109"/>
      <c r="BH55" s="109"/>
      <c r="BI55" s="109"/>
      <c r="BJ55" s="109"/>
      <c r="BK55" s="109"/>
      <c r="BL55" s="109"/>
      <c r="BM55" s="109"/>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60"/>
      <c r="C56" s="61"/>
      <c r="D56" s="61"/>
      <c r="E56" s="61"/>
      <c r="F56" s="61"/>
      <c r="G56" s="61"/>
      <c r="H56" s="61"/>
      <c r="I56" s="61"/>
      <c r="J56" s="61"/>
      <c r="K56" s="61"/>
      <c r="L56" s="62"/>
      <c r="M56" s="1"/>
      <c r="P56" s="58"/>
      <c r="Q56" s="58"/>
      <c r="R56" s="58"/>
      <c r="S56" s="58"/>
      <c r="T56" s="37">
        <f>IF(O56,S56,0)</f>
        <v>0</v>
      </c>
      <c r="U56" s="58"/>
      <c r="V56" s="58"/>
      <c r="W56" s="65"/>
      <c r="X56" s="58"/>
      <c r="Y56" s="58"/>
      <c r="Z56" s="58"/>
      <c r="AA56" s="58"/>
      <c r="AB56" s="58"/>
      <c r="AC56" s="58"/>
      <c r="AD56" s="58"/>
      <c r="BC56" s="109"/>
      <c r="BD56" s="109"/>
      <c r="BE56" s="109"/>
      <c r="BF56" s="109"/>
      <c r="BG56" s="109"/>
      <c r="BH56" s="109"/>
      <c r="BI56" s="109"/>
      <c r="BJ56" s="109"/>
      <c r="BK56" s="109"/>
      <c r="BL56" s="109"/>
      <c r="BM56" s="109"/>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53">
        <f>SUM(T46:T56)</f>
        <v>0</v>
      </c>
      <c r="W57" s="58"/>
      <c r="X57" s="58"/>
      <c r="Y57" s="58"/>
      <c r="Z57" s="58"/>
      <c r="AA57" s="59">
        <f>U58</f>
        <v>0</v>
      </c>
      <c r="AB57" s="58"/>
      <c r="AC57" s="58"/>
      <c r="AD57" s="58"/>
      <c r="BC57" s="109"/>
      <c r="BD57" s="109"/>
      <c r="BE57" s="109"/>
      <c r="BF57" s="109"/>
      <c r="BG57" s="109"/>
      <c r="BH57" s="109"/>
      <c r="BI57" s="109"/>
      <c r="BJ57" s="109"/>
      <c r="BK57" s="109"/>
      <c r="BL57" s="109"/>
      <c r="BM57" s="109"/>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8">
        <f>IF(U58=1,1,0)</f>
        <v>0</v>
      </c>
      <c r="AA58" s="58">
        <f>IF(U68=2,0,-1)</f>
        <v>-1</v>
      </c>
      <c r="AB58" s="58"/>
      <c r="AC58" s="58"/>
      <c r="AD58" s="58"/>
      <c r="BC58" s="109"/>
      <c r="BD58" s="109"/>
      <c r="BE58" s="109"/>
      <c r="BF58" s="109"/>
      <c r="BG58" s="109"/>
      <c r="BH58" s="109"/>
      <c r="BI58" s="109"/>
      <c r="BJ58" s="109"/>
      <c r="BK58" s="109"/>
      <c r="BL58" s="109"/>
      <c r="BM58" s="109"/>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4"/>
      <c r="M59" s="1"/>
      <c r="Z59" s="58">
        <f>IF(U68=2,1,0)</f>
        <v>0</v>
      </c>
      <c r="AA59" s="58">
        <f>IF(U68=2,-1,0)</f>
        <v>0</v>
      </c>
      <c r="AB59" s="58"/>
      <c r="AC59" s="58"/>
      <c r="AD59" s="58"/>
      <c r="BC59" s="109"/>
      <c r="BD59" s="109"/>
      <c r="BE59" s="109"/>
      <c r="BF59" s="109"/>
      <c r="BG59" s="109"/>
      <c r="BH59" s="109"/>
      <c r="BI59" s="109"/>
      <c r="BJ59" s="109"/>
      <c r="BK59" s="109"/>
      <c r="BL59" s="109"/>
      <c r="BM59" s="109"/>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6" t="s">
        <v>92</v>
      </c>
      <c r="C60" s="18"/>
      <c r="D60" s="79"/>
      <c r="E60" s="180" t="s">
        <v>135</v>
      </c>
      <c r="F60" s="181"/>
      <c r="G60" s="181"/>
      <c r="H60" s="181"/>
      <c r="I60" s="182"/>
      <c r="J60" s="18"/>
      <c r="K60" s="18"/>
      <c r="L60" s="22"/>
      <c r="M60" s="1"/>
      <c r="Z60" s="58">
        <f>IF(U68=2,1,0)</f>
        <v>0</v>
      </c>
      <c r="AA60" s="58">
        <f>IF(U68=2,-1,0)</f>
        <v>0</v>
      </c>
      <c r="AB60" s="58"/>
      <c r="AC60" s="58"/>
      <c r="AD60" s="58"/>
      <c r="BC60" s="109"/>
      <c r="BD60" s="109"/>
      <c r="BE60" s="109"/>
      <c r="BF60" s="109"/>
      <c r="BG60" s="109"/>
      <c r="BH60" s="109"/>
      <c r="BI60" s="109"/>
      <c r="BJ60" s="109"/>
      <c r="BK60" s="109"/>
      <c r="BL60" s="109"/>
      <c r="BM60" s="109"/>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Z61" s="58">
        <f>IF(U68=2,0,0)</f>
        <v>0</v>
      </c>
      <c r="AA61" s="58">
        <f>IF(U68=1,0,0)</f>
        <v>0</v>
      </c>
      <c r="AB61" s="58">
        <f>IF(SUM($U$50*$U$34=8),0,1)</f>
        <v>1</v>
      </c>
      <c r="AC61" s="58" t="b">
        <f>OR(AB61,AB63)</f>
        <v>1</v>
      </c>
      <c r="AD61" s="58">
        <f>IF(AC61,0,-1)</f>
        <v>0</v>
      </c>
      <c r="BC61" s="109"/>
      <c r="BD61" s="109"/>
      <c r="BE61" s="109"/>
      <c r="BF61" s="109"/>
      <c r="BG61" s="109"/>
      <c r="BH61" s="109"/>
      <c r="BI61" s="109"/>
      <c r="BJ61" s="109"/>
      <c r="BK61" s="109"/>
      <c r="BL61" s="109"/>
      <c r="BM61" s="109"/>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183" t="str">
        <f>W74</f>
        <v>Single Phase Branch</v>
      </c>
      <c r="C62" s="184"/>
      <c r="D62" s="184"/>
      <c r="E62" s="185"/>
      <c r="F62" s="186" t="str">
        <f>IF(Z74,"Length (distance)"," ")</f>
        <v>Length (distance)</v>
      </c>
      <c r="G62" s="187"/>
      <c r="H62" s="18" t="s">
        <v>30</v>
      </c>
      <c r="I62" s="21">
        <v>500</v>
      </c>
      <c r="J62" s="18"/>
      <c r="K62" s="18"/>
      <c r="L62" s="22"/>
      <c r="M62" s="1"/>
      <c r="Z62" s="58">
        <f>IF(U68=2,1,0)</f>
        <v>0</v>
      </c>
      <c r="AA62" s="58">
        <f>IF(U68=2,-1,0)</f>
        <v>0</v>
      </c>
      <c r="AB62" s="58"/>
      <c r="AC62" s="58"/>
      <c r="AD62" s="67">
        <f>IF(SUM(U68+U58=8),-1,0)</f>
        <v>0</v>
      </c>
      <c r="BC62" s="109"/>
      <c r="BD62" s="109"/>
      <c r="BE62" s="109"/>
      <c r="BF62" s="109"/>
      <c r="BG62" s="109"/>
      <c r="BH62" s="109"/>
      <c r="BI62" s="109"/>
      <c r="BJ62" s="109"/>
      <c r="BK62" s="109"/>
      <c r="BL62" s="109"/>
      <c r="BM62" s="109"/>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149" t="s">
        <v>31</v>
      </c>
      <c r="C63" s="32" t="str">
        <f>V67</f>
        <v xml:space="preserve">        2 x L x I</v>
      </c>
      <c r="D63" s="32"/>
      <c r="E63" s="32"/>
      <c r="F63" s="18" t="str">
        <f>IF(Z74=1,"      (ASC)"," ")</f>
        <v xml:space="preserve">      (ASC)</v>
      </c>
      <c r="G63" s="18"/>
      <c r="H63" s="18" t="s">
        <v>33</v>
      </c>
      <c r="I63" s="47">
        <f>IF(Z74=1,J52," ")</f>
        <v>8696.3608971910253</v>
      </c>
      <c r="J63" s="18" t="str">
        <f>IF(Z74=1," Phase"," ")</f>
        <v xml:space="preserve"> Phase</v>
      </c>
      <c r="K63" s="47">
        <f>IF(Z74=1,J53," ")</f>
        <v>3881.1221635583315</v>
      </c>
      <c r="L63" s="22" t="str">
        <f>IF(Z74=1," Neutral"," ")</f>
        <v xml:space="preserve"> Neutral</v>
      </c>
      <c r="M63" s="1"/>
      <c r="Z63" s="58">
        <f>IF(U68=2,0,0)</f>
        <v>0</v>
      </c>
      <c r="AA63" s="58">
        <f>IF(U58=6,0,0)</f>
        <v>0</v>
      </c>
      <c r="AB63" s="58">
        <f>IF(SUM(U68*U58=8),0,1)</f>
        <v>1</v>
      </c>
      <c r="AC63" s="58"/>
      <c r="AD63" s="58">
        <f>IF(SUM(U58+U68=6),-1,0)</f>
        <v>0</v>
      </c>
      <c r="BC63" s="109"/>
      <c r="BD63" s="109"/>
      <c r="BE63" s="109"/>
      <c r="BF63" s="109"/>
      <c r="BG63" s="109"/>
      <c r="BH63" s="109"/>
      <c r="BI63" s="109"/>
      <c r="BJ63" s="109"/>
      <c r="BK63" s="109"/>
      <c r="BL63" s="109"/>
      <c r="BM63" s="109"/>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150"/>
      <c r="C64" s="32" t="s">
        <v>35</v>
      </c>
      <c r="D64" s="32"/>
      <c r="E64" s="32"/>
      <c r="F64" s="48" t="str">
        <f>IF(Z74=1,"# conductors per phase"," ")</f>
        <v># conductors per phase</v>
      </c>
      <c r="G64" s="18"/>
      <c r="H64" s="18" t="s">
        <v>37</v>
      </c>
      <c r="I64" s="21">
        <v>1</v>
      </c>
      <c r="J64" s="49"/>
      <c r="K64" s="18"/>
      <c r="L64" s="22"/>
      <c r="M64" s="1"/>
      <c r="Z64" s="58">
        <f>SUM(Z58:Z63)</f>
        <v>0</v>
      </c>
      <c r="AA64" s="58">
        <f>SUM(AA58:AA63)</f>
        <v>-1</v>
      </c>
      <c r="AB64" s="58">
        <f>SUM(Z64:AA64)</f>
        <v>-1</v>
      </c>
      <c r="AC64" s="58"/>
      <c r="AD64" s="58"/>
      <c r="BC64" s="109"/>
      <c r="BD64" s="109"/>
      <c r="BE64" s="109"/>
      <c r="BF64" s="109"/>
      <c r="BG64" s="109"/>
      <c r="BH64" s="109"/>
      <c r="BI64" s="109"/>
      <c r="BJ64" s="109"/>
      <c r="BK64" s="109"/>
      <c r="BL64" s="109"/>
      <c r="BM64" s="109"/>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137" t="str">
        <f>IF(Z74=1,"    Phase conductor constant"," ")</f>
        <v xml:space="preserve">    Phase conductor constant</v>
      </c>
      <c r="F65" s="138"/>
      <c r="G65" s="137"/>
      <c r="H65" s="18" t="s">
        <v>40</v>
      </c>
      <c r="I65" s="50">
        <f>S78</f>
        <v>1558.7822320462208</v>
      </c>
      <c r="J65" s="73" t="str">
        <f>IF(Z74=1,J21," ")</f>
        <v>Phase Conductor</v>
      </c>
      <c r="K65" s="18"/>
      <c r="L65" s="22"/>
      <c r="M65" s="1"/>
      <c r="P65" s="58"/>
      <c r="Q65" s="58"/>
      <c r="R65" s="58"/>
      <c r="S65" s="58"/>
      <c r="T65" s="58" t="s">
        <v>94</v>
      </c>
      <c r="U65" s="58">
        <f>U50</f>
        <v>1</v>
      </c>
      <c r="V65" s="58"/>
      <c r="W65" s="58"/>
      <c r="X65" s="58"/>
      <c r="Y65" s="58"/>
      <c r="Z65" s="58"/>
      <c r="AA65" s="58"/>
      <c r="AB65" s="59">
        <f>IF(U68=1,0,1)</f>
        <v>1</v>
      </c>
      <c r="AC65" s="58"/>
      <c r="AD65" s="58"/>
      <c r="BC65" s="109"/>
      <c r="BD65" s="109"/>
      <c r="BE65" s="109"/>
      <c r="BF65" s="109"/>
      <c r="BG65" s="109"/>
      <c r="BH65" s="109"/>
      <c r="BI65" s="109"/>
      <c r="BJ65" s="109"/>
      <c r="BK65" s="109"/>
      <c r="BL65" s="109"/>
      <c r="BM65" s="109"/>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tr">
        <f>IF(Z74=1,"Volt Line to Line"," ")</f>
        <v>Volt Line to Line</v>
      </c>
      <c r="G66" s="18"/>
      <c r="H66" s="18" t="s">
        <v>44</v>
      </c>
      <c r="I66" s="76">
        <f>IF(Z74=1,$V$41," ")</f>
        <v>240</v>
      </c>
      <c r="J66" s="18" t="str">
        <f>IF(Z74=1,"Volt"," ")</f>
        <v>Volt</v>
      </c>
      <c r="K66" s="18"/>
      <c r="L66" s="22"/>
      <c r="M66" s="1"/>
      <c r="P66" s="58"/>
      <c r="Q66" s="58"/>
      <c r="R66" s="58"/>
      <c r="S66" s="58"/>
      <c r="T66" s="58"/>
      <c r="U66" s="58"/>
      <c r="V66" s="58"/>
      <c r="W66" s="58"/>
      <c r="X66" s="58"/>
      <c r="Y66" s="58"/>
      <c r="Z66" s="58"/>
      <c r="AA66" s="58"/>
      <c r="AB66" s="58">
        <f>AD61</f>
        <v>0</v>
      </c>
      <c r="AC66" s="58"/>
      <c r="AD66" s="58"/>
      <c r="BC66" s="109"/>
      <c r="BD66" s="109"/>
      <c r="BE66" s="109"/>
      <c r="BF66" s="109"/>
      <c r="BG66" s="109"/>
      <c r="BH66" s="109"/>
      <c r="BI66" s="109"/>
      <c r="BJ66" s="109"/>
      <c r="BK66" s="109"/>
      <c r="BL66" s="109"/>
      <c r="BM66" s="109"/>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52">
        <f>IF(I65=0,0,(V68*I62*AB19*I63)/(I64*I65*I66))</f>
        <v>23.245605657221041</v>
      </c>
      <c r="J67" s="18"/>
      <c r="K67" s="18"/>
      <c r="L67" s="22"/>
      <c r="M67" s="1"/>
      <c r="P67" s="58"/>
      <c r="Q67" s="58" t="s">
        <v>122</v>
      </c>
      <c r="R67" s="58"/>
      <c r="S67" s="58"/>
      <c r="T67" s="58" t="s">
        <v>95</v>
      </c>
      <c r="U67" s="58">
        <v>1</v>
      </c>
      <c r="V67" s="57" t="str">
        <f>CHOOSE(U67,"        2 x L x I","      1.732 x L x I")</f>
        <v xml:space="preserve">        2 x L x I</v>
      </c>
      <c r="W67" s="58" t="s">
        <v>87</v>
      </c>
      <c r="X67" s="58"/>
      <c r="Y67" s="58" t="str">
        <f>IF(U67=1,"Single Phase Branch","Three Phase Branch")</f>
        <v>Single Phase Branch</v>
      </c>
      <c r="Z67" s="58"/>
      <c r="AA67" s="58"/>
      <c r="AB67" s="67">
        <f>SUM(AD62:AD63)</f>
        <v>0</v>
      </c>
      <c r="AC67" s="58"/>
      <c r="AD67" s="58"/>
      <c r="BC67" s="109"/>
      <c r="BD67" s="109"/>
      <c r="BE67" s="109"/>
      <c r="BF67" s="109"/>
      <c r="BG67" s="109"/>
      <c r="BH67" s="109"/>
      <c r="BI67" s="109"/>
      <c r="BJ67" s="109"/>
      <c r="BK67" s="109"/>
      <c r="BL67" s="109"/>
      <c r="BM67" s="109"/>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137" t="str">
        <f>IF(Z74=1,"   Neutral conductor constant"," ")</f>
        <v xml:space="preserve">   Neutral conductor constant</v>
      </c>
      <c r="F68" s="138"/>
      <c r="G68" s="137"/>
      <c r="H68" s="18" t="s">
        <v>40</v>
      </c>
      <c r="I68" s="50">
        <f>T78</f>
        <v>1270.224405769352</v>
      </c>
      <c r="J68" s="73" t="str">
        <f>IF(Z74=1,J24," ")</f>
        <v>Neutral Conductor</v>
      </c>
      <c r="K68" s="18"/>
      <c r="L68" s="22"/>
      <c r="M68" s="1"/>
      <c r="P68" s="58"/>
      <c r="Q68" s="58"/>
      <c r="R68" s="58"/>
      <c r="S68" s="58"/>
      <c r="T68" s="58"/>
      <c r="U68" s="58"/>
      <c r="V68" s="58">
        <f>CHOOSE(U67,2,1.732)</f>
        <v>2</v>
      </c>
      <c r="W68" s="58" t="s">
        <v>88</v>
      </c>
      <c r="X68" s="58"/>
      <c r="Y68" s="58"/>
      <c r="Z68" s="58"/>
      <c r="AA68" s="58"/>
      <c r="AB68" s="67">
        <f>SUM(AB64:AB67)</f>
        <v>0</v>
      </c>
      <c r="AC68" s="58"/>
      <c r="AD68" s="58"/>
      <c r="BC68" s="109"/>
      <c r="BD68" s="109"/>
      <c r="BE68" s="109"/>
      <c r="BF68" s="109"/>
      <c r="BG68" s="109"/>
      <c r="BH68" s="109"/>
      <c r="BI68" s="109"/>
      <c r="BJ68" s="109"/>
      <c r="BK68" s="109"/>
      <c r="BL68" s="109"/>
      <c r="BM68" s="109"/>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tr">
        <f>IF(Z74=1,"Volt Line to Neutral"," ")</f>
        <v>Volt Line to Neutral</v>
      </c>
      <c r="G69" s="18"/>
      <c r="H69" s="18" t="s">
        <v>54</v>
      </c>
      <c r="I69" s="76">
        <f>IF(Z74=1,$V$40," ")</f>
        <v>120</v>
      </c>
      <c r="J69" s="18" t="str">
        <f>IF(Z74=1,"Volt"," ")</f>
        <v>Volt</v>
      </c>
      <c r="K69" s="18"/>
      <c r="L69" s="22"/>
      <c r="M69" s="1"/>
      <c r="P69" s="69">
        <v>4</v>
      </c>
      <c r="Q69" s="69"/>
      <c r="R69" s="69">
        <f>CHOOSE($P$69,0,Q$10,Q$11,Q$12,Q$13,Q$14,Q$15,Q$16,Q$17,Q$18,Q$19,Q$20,Q$21,Q$22,Q$23,Q$24,Q$25,Q$26,Q$27,Q$28,Q$29,Q$30)</f>
        <v>981.66657949248315</v>
      </c>
      <c r="S69" s="69">
        <f>CHOOSE($P$69,0,R10,R11,R12,R13,R14,R15,R16,R17,R18,R19,R20,R21,R22,R23,R24,R25,R26,R27,R28,R29,R30)</f>
        <v>598.65468595959044</v>
      </c>
      <c r="T69" s="77">
        <f>IF(O69,#REF!,0)</f>
        <v>0</v>
      </c>
      <c r="U69" s="69"/>
      <c r="V69" s="69"/>
      <c r="W69" s="69"/>
      <c r="X69" s="69">
        <f>CHOOSE($P$69,0,W10,W11,W12,W13,W14,W15,W16,W17,W18,W19,W20,W21,W22,W23,W24,W25,W26,W27,W28,W29,W30)</f>
        <v>981.66657949248315</v>
      </c>
      <c r="Y69" s="69">
        <f>CHOOSE($P$69,0,X10,X11,X12,X13,X14,X15,X16,X17,X18,X19,X20,X21,X22,X23,X24,X25,X26,X27,X28,X29,X30)</f>
        <v>598.65468595959044</v>
      </c>
      <c r="Z69" s="58"/>
      <c r="AA69" s="58"/>
      <c r="BC69" s="109"/>
      <c r="BD69" s="109"/>
      <c r="BE69" s="109"/>
      <c r="BF69" s="109"/>
      <c r="BG69" s="109"/>
      <c r="BH69" s="109"/>
      <c r="BI69" s="109"/>
      <c r="BJ69" s="109"/>
      <c r="BK69" s="109"/>
      <c r="BL69" s="109"/>
      <c r="BM69" s="109"/>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6" t="s">
        <v>52</v>
      </c>
      <c r="C70" s="18"/>
      <c r="D70" s="18"/>
      <c r="E70" s="18"/>
      <c r="F70" s="18"/>
      <c r="G70" s="18"/>
      <c r="H70" s="18" t="s">
        <v>47</v>
      </c>
      <c r="I70" s="52">
        <f>IF(I68=0,0,(V68*I62*AB19*K63)/(I64*I68*I69))</f>
        <v>25.462181760497707</v>
      </c>
      <c r="J70" s="18"/>
      <c r="K70" s="18"/>
      <c r="L70" s="22"/>
      <c r="M70" s="1"/>
      <c r="P70" s="58"/>
      <c r="Q70" s="58"/>
      <c r="R70" s="71">
        <f>SUM(R69+R72)/2</f>
        <v>1270.224405769352</v>
      </c>
      <c r="S70" s="71">
        <f>SUM(S69+S72)/2</f>
        <v>775.20627979297853</v>
      </c>
      <c r="T70" s="66">
        <f>IF(O70,#REF!,0)</f>
        <v>0</v>
      </c>
      <c r="U70" s="58"/>
      <c r="V70" s="58"/>
      <c r="W70" s="58"/>
      <c r="X70" s="71">
        <f>SUM(X69+X72)/2</f>
        <v>1270.224405769352</v>
      </c>
      <c r="Y70" s="71">
        <f>SUM(Y69+Y72)/2</f>
        <v>775.20627979297853</v>
      </c>
      <c r="Z70" s="58"/>
      <c r="AA70" s="58"/>
      <c r="BC70" s="109"/>
      <c r="BD70" s="109"/>
      <c r="BE70" s="109"/>
      <c r="BF70" s="109"/>
      <c r="BG70" s="109"/>
      <c r="BH70" s="109"/>
      <c r="BI70" s="109"/>
      <c r="BJ70" s="109"/>
      <c r="BK70" s="109"/>
      <c r="BL70" s="109"/>
      <c r="BM70" s="109"/>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59"/>
      <c r="Q71" s="59"/>
      <c r="R71" s="59"/>
      <c r="S71" s="59"/>
      <c r="T71" s="78">
        <f>IF(O71,#REF!,0)</f>
        <v>0</v>
      </c>
      <c r="U71" s="59"/>
      <c r="V71" s="59"/>
      <c r="W71" s="59"/>
      <c r="X71" s="59"/>
      <c r="Y71" s="59"/>
      <c r="Z71" s="58"/>
      <c r="AA71" s="58"/>
      <c r="BC71" s="109"/>
      <c r="BD71" s="109"/>
      <c r="BE71" s="109"/>
      <c r="BF71" s="109"/>
      <c r="BG71" s="109"/>
      <c r="BH71" s="109"/>
      <c r="BI71" s="109"/>
      <c r="BJ71" s="109"/>
      <c r="BK71" s="109"/>
      <c r="BL71" s="109"/>
      <c r="BM71" s="109"/>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2" t="s">
        <v>57</v>
      </c>
      <c r="D72" s="32"/>
      <c r="E72" s="32"/>
      <c r="F72" s="18" t="str">
        <f>IF(Z74=1,"Line to Line"," ")</f>
        <v>Line to Line</v>
      </c>
      <c r="G72" s="19"/>
      <c r="H72" s="18" t="s">
        <v>61</v>
      </c>
      <c r="I72" s="52">
        <f>1/(1+I67)</f>
        <v>4.124458733420714E-2</v>
      </c>
      <c r="J72" s="18"/>
      <c r="K72" s="18"/>
      <c r="L72" s="22"/>
      <c r="M72" s="1"/>
      <c r="P72" s="59">
        <v>5</v>
      </c>
      <c r="Q72" s="74" t="b">
        <v>0</v>
      </c>
      <c r="R72" s="59">
        <f>CHOOSE($P$72,0,Q$10,Q$11,Q$12,Q$13,Q$14,Q$15,Q$16,Q$17,Q$18,Q$19,Q$20,Q$21,Q$22,Q$23,Q$24,Q$25,Q$26,Q$27,Q$28,Q$29,Q$30)</f>
        <v>1558.7822320462208</v>
      </c>
      <c r="S72" s="59">
        <f>CHOOSE($P$72,0,R$10,R$11,R$12,R$13,R$14,R$15,R$16,R$17,R$18,R$19,R$20,R$21,R$22,R$23,R$24,R$25,R$26,R$27,R$28,R$29,R$30)</f>
        <v>951.75787362636663</v>
      </c>
      <c r="T72" s="78">
        <f>IF(O72,#REF!,0)</f>
        <v>0</v>
      </c>
      <c r="U72" s="59"/>
      <c r="V72" s="59" t="s">
        <v>2</v>
      </c>
      <c r="W72" s="74" t="b">
        <v>0</v>
      </c>
      <c r="X72" s="59">
        <f>CHOOSE($P$72,0,W$10,W$11,W$12,W$13,W$14,W$15,W$16,W$17,W$18,W$19,W$20,W$21,W$22,W$23,W$24,W$25,W$26,W$27,W$28,W$29,W$30)</f>
        <v>1558.7822320462208</v>
      </c>
      <c r="Y72" s="59">
        <f>CHOOSE($P$72,0,X$10,X$11,X$12,X$13,X$14,X$15,X$16,X$17,X$18,X$19,X$20,X$21,X$22,X$23,X$24,X$25,X$26,X$27,X$28,X$29,X$30)</f>
        <v>951.75787362636663</v>
      </c>
      <c r="Z72" s="58"/>
      <c r="AA72" s="58"/>
      <c r="BC72" s="109"/>
      <c r="BD72" s="109"/>
      <c r="BE72" s="109"/>
      <c r="BF72" s="109"/>
      <c r="BG72" s="109"/>
      <c r="BH72" s="109"/>
      <c r="BI72" s="109"/>
      <c r="BJ72" s="109"/>
      <c r="BK72" s="109"/>
      <c r="BL72" s="109"/>
      <c r="BM72" s="109"/>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thickBot="1">
      <c r="A73" s="1"/>
      <c r="B73" s="26"/>
      <c r="C73" s="32" t="s">
        <v>59</v>
      </c>
      <c r="D73" s="32"/>
      <c r="E73" s="32"/>
      <c r="F73" s="19" t="str">
        <f>IF(Z74=1,"Line to Neutral"," ")</f>
        <v>Line to Neutral</v>
      </c>
      <c r="G73" s="18"/>
      <c r="H73" s="18" t="s">
        <v>61</v>
      </c>
      <c r="I73" s="52">
        <f>1/(1+I70)</f>
        <v>3.7789778977815915E-2</v>
      </c>
      <c r="J73" s="18" t="s">
        <v>2</v>
      </c>
      <c r="K73" s="18"/>
      <c r="L73" s="22"/>
      <c r="M73" s="1"/>
      <c r="P73" s="58"/>
      <c r="Q73" s="58"/>
      <c r="R73" s="58"/>
      <c r="S73" s="58"/>
      <c r="T73" s="37">
        <f>IF(O73,S73,0)</f>
        <v>0</v>
      </c>
      <c r="U73" s="58"/>
      <c r="V73" s="58"/>
      <c r="W73" s="58"/>
      <c r="X73" s="58"/>
      <c r="Y73" s="58"/>
      <c r="Z73" s="58"/>
      <c r="AA73" s="58"/>
      <c r="BC73" s="109"/>
      <c r="BD73" s="109"/>
      <c r="BE73" s="109"/>
      <c r="BF73" s="109"/>
      <c r="BG73" s="109"/>
      <c r="BH73" s="109"/>
      <c r="BI73" s="109"/>
      <c r="BJ73" s="109"/>
      <c r="BK73" s="109"/>
      <c r="BL73" s="109"/>
      <c r="BM73" s="109"/>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thickBot="1">
      <c r="A74" s="1"/>
      <c r="B74" s="26"/>
      <c r="C74" s="18"/>
      <c r="D74" s="18"/>
      <c r="E74" s="18"/>
      <c r="F74" s="18"/>
      <c r="G74" s="18"/>
      <c r="H74" s="18"/>
      <c r="I74" s="18"/>
      <c r="J74" s="18"/>
      <c r="K74" s="19"/>
      <c r="L74" s="22"/>
      <c r="M74" s="1"/>
      <c r="P74" s="58">
        <v>2</v>
      </c>
      <c r="Q74" s="58"/>
      <c r="R74" s="57" t="s">
        <v>70</v>
      </c>
      <c r="S74" s="57">
        <f>IF(P74=2,R72,0)</f>
        <v>1558.7822320462208</v>
      </c>
      <c r="T74" s="57">
        <f>IF(P74=2,R70,0)</f>
        <v>1270.224405769352</v>
      </c>
      <c r="U74" s="58"/>
      <c r="V74" s="58"/>
      <c r="W74" s="100" t="str">
        <f>IF(Y80,Y67,"Error Single Phase Feeder")</f>
        <v>Single Phase Branch</v>
      </c>
      <c r="X74" s="101"/>
      <c r="Y74" s="101"/>
      <c r="Z74" s="102">
        <f>IF(W74="Error Single Phase Feeder",0,1)</f>
        <v>1</v>
      </c>
      <c r="AA74" s="58"/>
      <c r="BC74" s="109"/>
      <c r="BD74" s="109"/>
      <c r="BE74" s="109"/>
      <c r="BF74" s="109"/>
      <c r="BG74" s="109"/>
      <c r="BH74" s="109"/>
      <c r="BI74" s="109"/>
      <c r="BJ74" s="109"/>
      <c r="BK74" s="109"/>
      <c r="BL74" s="109"/>
      <c r="BM74" s="109"/>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139" t="str">
        <f>IF(Z74=1," Isca  x  M  =  fault current at terminal of the panel L- L ="," ")</f>
        <v xml:space="preserve"> Isca  x  M  =  fault current at terminal of the panel L- L =</v>
      </c>
      <c r="C75" s="140"/>
      <c r="D75" s="140"/>
      <c r="E75" s="140"/>
      <c r="F75" s="140"/>
      <c r="G75" s="140"/>
      <c r="H75" s="18"/>
      <c r="I75" s="18"/>
      <c r="J75" s="55">
        <f>I63*I72</f>
        <v>358.67781651397922</v>
      </c>
      <c r="K75" s="32" t="s">
        <v>27</v>
      </c>
      <c r="L75" s="22"/>
      <c r="M75" s="1"/>
      <c r="P75" s="58"/>
      <c r="Q75" s="58"/>
      <c r="R75" s="57" t="s">
        <v>72</v>
      </c>
      <c r="S75" s="57">
        <f>IF(P74=3,S72,0)</f>
        <v>0</v>
      </c>
      <c r="T75" s="57">
        <f>IF(P74=3,S70,0)</f>
        <v>0</v>
      </c>
      <c r="U75" s="58"/>
      <c r="V75" s="58"/>
      <c r="W75" s="57" t="s">
        <v>2</v>
      </c>
      <c r="X75" s="57"/>
      <c r="Y75" s="57"/>
      <c r="Z75" s="58"/>
      <c r="AA75" s="58"/>
      <c r="BC75" s="109"/>
      <c r="BD75" s="109"/>
      <c r="BE75" s="109"/>
      <c r="BF75" s="109"/>
      <c r="BG75" s="109"/>
      <c r="BH75" s="109"/>
      <c r="BI75" s="109"/>
      <c r="BJ75" s="109"/>
      <c r="BK75" s="109"/>
      <c r="BL75" s="109"/>
      <c r="BM75" s="109"/>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139" t="str">
        <f>IF(Z74=1," Isca  x  M  =  fault current at terminal of the panel L- N  ="," ")</f>
        <v xml:space="preserve"> Isca  x  M  =  fault current at terminal of the panel L- N  =</v>
      </c>
      <c r="C76" s="140"/>
      <c r="D76" s="140"/>
      <c r="E76" s="140"/>
      <c r="F76" s="140"/>
      <c r="G76" s="140"/>
      <c r="H76" s="18"/>
      <c r="I76" s="18"/>
      <c r="J76" s="55">
        <f>K63*I73*1</f>
        <v>146.66674874677204</v>
      </c>
      <c r="K76" s="32" t="s">
        <v>27</v>
      </c>
      <c r="L76" s="22"/>
      <c r="M76" s="1"/>
      <c r="P76" s="58"/>
      <c r="Q76" s="58"/>
      <c r="R76" s="58" t="s">
        <v>74</v>
      </c>
      <c r="S76" s="57">
        <f>IF(P74=4,X72,0)</f>
        <v>0</v>
      </c>
      <c r="T76" s="57">
        <f>IF(P74=4,X70,0)</f>
        <v>0</v>
      </c>
      <c r="U76" s="58"/>
      <c r="V76" s="58"/>
      <c r="W76" s="57" t="b">
        <f>IF(U67=1,TRUE,FALSE)</f>
        <v>1</v>
      </c>
      <c r="X76" s="57" t="s">
        <v>2</v>
      </c>
      <c r="Y76" s="57">
        <f>SUM(Y78:Y79)</f>
        <v>0</v>
      </c>
      <c r="Z76" s="58"/>
      <c r="AA76" s="58"/>
      <c r="BC76" s="109"/>
      <c r="BD76" s="109"/>
      <c r="BE76" s="109"/>
      <c r="BF76" s="109"/>
      <c r="BG76" s="109"/>
      <c r="BH76" s="109"/>
      <c r="BI76" s="109"/>
      <c r="BJ76" s="109"/>
      <c r="BK76" s="109"/>
      <c r="BL76" s="109"/>
      <c r="BM76" s="109"/>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58"/>
      <c r="Q77" s="58"/>
      <c r="R77" s="58" t="s">
        <v>78</v>
      </c>
      <c r="S77" s="57">
        <f>IF(P74=5,Y72,0)</f>
        <v>0</v>
      </c>
      <c r="T77" s="57">
        <f>IF(P74=5,Y70,0)</f>
        <v>0</v>
      </c>
      <c r="U77" s="58"/>
      <c r="V77" s="58"/>
      <c r="W77" s="57" t="b">
        <f>IF(U50=2,TRUE,FALSE)</f>
        <v>0</v>
      </c>
      <c r="X77" s="66"/>
      <c r="Y77" s="66"/>
      <c r="Z77" s="58"/>
      <c r="AA77" s="58"/>
      <c r="BC77" s="109"/>
      <c r="BD77" s="109"/>
      <c r="BE77" s="109"/>
      <c r="BF77" s="109"/>
      <c r="BG77" s="109"/>
      <c r="BH77" s="109"/>
      <c r="BI77" s="109"/>
      <c r="BJ77" s="109"/>
      <c r="BK77" s="109"/>
      <c r="BL77" s="109"/>
      <c r="BM77" s="109"/>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141" t="s">
        <v>91</v>
      </c>
      <c r="D78" s="142"/>
      <c r="E78" s="142"/>
      <c r="F78" s="142"/>
      <c r="G78" s="142"/>
      <c r="H78" s="142"/>
      <c r="I78" s="142"/>
      <c r="J78" s="142"/>
      <c r="K78" s="143"/>
      <c r="L78" s="22"/>
      <c r="M78" s="1"/>
      <c r="P78" s="58"/>
      <c r="Q78" s="58"/>
      <c r="R78" s="58"/>
      <c r="S78" s="71">
        <f>SUM(S74:S77)</f>
        <v>1558.7822320462208</v>
      </c>
      <c r="T78" s="71">
        <f>SUM(T74:T77)</f>
        <v>1270.224405769352</v>
      </c>
      <c r="U78" s="58"/>
      <c r="V78" s="58"/>
      <c r="W78" s="58">
        <f>IF(SUM(U65+$U$67=2),-1,0)</f>
        <v>-1</v>
      </c>
      <c r="X78" s="58">
        <f>IF(U67+U65=4,1,0)</f>
        <v>0</v>
      </c>
      <c r="Y78" s="58">
        <f>SUM(W78:X78)</f>
        <v>-1</v>
      </c>
      <c r="Z78" s="58"/>
      <c r="AA78" s="58"/>
      <c r="BC78" s="109"/>
      <c r="BD78" s="109"/>
      <c r="BE78" s="109"/>
      <c r="BF78" s="109"/>
      <c r="BG78" s="109"/>
      <c r="BH78" s="109"/>
      <c r="BI78" s="109"/>
      <c r="BJ78" s="109"/>
      <c r="BK78" s="109"/>
      <c r="BL78" s="109"/>
      <c r="BM78" s="109"/>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60"/>
      <c r="C79" s="61"/>
      <c r="D79" s="61"/>
      <c r="E79" s="61"/>
      <c r="F79" s="61"/>
      <c r="G79" s="61"/>
      <c r="H79" s="61"/>
      <c r="I79" s="61"/>
      <c r="J79" s="61"/>
      <c r="K79" s="61"/>
      <c r="L79" s="62"/>
      <c r="M79" s="1"/>
      <c r="P79" s="58"/>
      <c r="Q79" s="58"/>
      <c r="R79" s="58"/>
      <c r="S79" s="58"/>
      <c r="T79" s="58"/>
      <c r="U79" s="58"/>
      <c r="V79" s="58"/>
      <c r="W79" s="58">
        <f>IF(SUM(U65=2),-1,0)</f>
        <v>0</v>
      </c>
      <c r="X79" s="58">
        <f>IF(U67=1,1,0)</f>
        <v>1</v>
      </c>
      <c r="Y79" s="58">
        <f>SUM(W79:X79)</f>
        <v>1</v>
      </c>
      <c r="Z79" s="58"/>
      <c r="AA79" s="58"/>
      <c r="BC79" s="109"/>
      <c r="BD79" s="109"/>
      <c r="BE79" s="109"/>
      <c r="BF79" s="109"/>
      <c r="BG79" s="109"/>
      <c r="BH79" s="109"/>
      <c r="BI79" s="109"/>
      <c r="BJ79" s="109"/>
      <c r="BK79" s="109"/>
      <c r="BL79" s="109"/>
      <c r="BM79" s="109"/>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8"/>
      <c r="Q80" s="58"/>
      <c r="R80" s="58"/>
      <c r="S80" s="58"/>
      <c r="T80" s="58"/>
      <c r="U80" s="58"/>
      <c r="V80" s="58"/>
      <c r="W80" s="58">
        <f>IF(SUM(U67=2),0,-1)</f>
        <v>-1</v>
      </c>
      <c r="X80" s="58">
        <f>IF(U65=1,1,0)</f>
        <v>1</v>
      </c>
      <c r="Y80" s="58" t="b">
        <f>IF(X82=0,TRUE,FALSE)</f>
        <v>1</v>
      </c>
      <c r="Z80" s="58">
        <f>SUM(Y76+X80)</f>
        <v>1</v>
      </c>
      <c r="AA80" s="58"/>
      <c r="BC80" s="109"/>
      <c r="BD80" s="109"/>
      <c r="BE80" s="109"/>
      <c r="BF80" s="109"/>
      <c r="BG80" s="109"/>
      <c r="BH80" s="109"/>
      <c r="BI80" s="109"/>
      <c r="BJ80" s="109"/>
      <c r="BK80" s="109"/>
      <c r="BL80" s="109"/>
      <c r="BM80" s="109"/>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8"/>
      <c r="Q81" s="58"/>
      <c r="R81" s="58"/>
      <c r="S81" s="58"/>
      <c r="T81" s="58"/>
      <c r="U81" s="58"/>
      <c r="V81" s="58"/>
      <c r="W81" s="58"/>
      <c r="X81" s="58"/>
      <c r="Y81" s="58"/>
      <c r="Z81" s="58">
        <f>SUM(Z80+W80)</f>
        <v>0</v>
      </c>
      <c r="AA81" s="58"/>
      <c r="BC81" s="109"/>
      <c r="BD81" s="109"/>
      <c r="BE81" s="109"/>
      <c r="BF81" s="109"/>
      <c r="BG81" s="109"/>
      <c r="BH81" s="109"/>
      <c r="BI81" s="109"/>
      <c r="BJ81" s="109"/>
      <c r="BK81" s="109"/>
      <c r="BL81" s="109"/>
      <c r="BM81" s="109"/>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8"/>
      <c r="Q82" s="58"/>
      <c r="R82" s="58"/>
      <c r="S82" s="58"/>
      <c r="T82" s="58"/>
      <c r="U82" s="58"/>
      <c r="V82" s="58"/>
      <c r="W82" s="58"/>
      <c r="X82" s="58">
        <f>IF(U67=1,Y76,Z80)</f>
        <v>0</v>
      </c>
      <c r="Y82" s="58"/>
      <c r="Z82" s="58"/>
      <c r="AA82" s="58"/>
      <c r="BC82" s="109"/>
      <c r="BD82" s="109"/>
      <c r="BE82" s="109"/>
      <c r="BF82" s="109"/>
      <c r="BG82" s="109"/>
      <c r="BH82" s="109"/>
      <c r="BI82" s="109"/>
      <c r="BJ82" s="109"/>
      <c r="BK82" s="109"/>
      <c r="BL82" s="109"/>
      <c r="BM82" s="109"/>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BC83" s="109"/>
      <c r="BD83" s="109"/>
      <c r="BE83" s="109"/>
      <c r="BF83" s="109"/>
      <c r="BG83" s="109"/>
      <c r="BH83" s="109"/>
      <c r="BI83" s="109"/>
      <c r="BJ83" s="109"/>
      <c r="BK83" s="109"/>
      <c r="BL83" s="109"/>
      <c r="BM83" s="109"/>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BC84" s="109"/>
      <c r="BD84" s="109"/>
      <c r="BE84" s="109"/>
      <c r="BF84" s="109"/>
      <c r="BG84" s="109"/>
      <c r="BH84" s="109"/>
      <c r="BI84" s="109"/>
      <c r="BJ84" s="109"/>
      <c r="BK84" s="109"/>
      <c r="BL84" s="109"/>
      <c r="BM84" s="109"/>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BC85" s="109"/>
      <c r="BD85" s="109"/>
      <c r="BE85" s="109"/>
      <c r="BF85" s="109"/>
      <c r="BG85" s="109"/>
      <c r="BH85" s="109"/>
      <c r="BI85" s="109"/>
      <c r="BJ85" s="109"/>
      <c r="BK85" s="109"/>
      <c r="BL85" s="109"/>
      <c r="BM85" s="109"/>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BC86" s="109"/>
      <c r="BD86" s="109"/>
      <c r="BE86" s="109"/>
      <c r="BF86" s="109"/>
      <c r="BG86" s="109"/>
      <c r="BH86" s="109"/>
      <c r="BI86" s="109"/>
      <c r="BJ86" s="109"/>
      <c r="BK86" s="109"/>
      <c r="BL86" s="109"/>
      <c r="BM86" s="109"/>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BC87" s="109"/>
      <c r="BD87" s="109"/>
      <c r="BE87" s="109"/>
      <c r="BF87" s="109"/>
      <c r="BG87" s="109"/>
      <c r="BH87" s="109"/>
      <c r="BI87" s="109"/>
      <c r="BJ87" s="109"/>
      <c r="BK87" s="109"/>
      <c r="BL87" s="109"/>
      <c r="BM87" s="109"/>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BC88" s="109"/>
      <c r="BD88" s="109"/>
      <c r="BE88" s="109"/>
      <c r="BF88" s="109"/>
      <c r="BG88" s="109"/>
      <c r="BH88" s="109"/>
      <c r="BI88" s="109"/>
      <c r="BJ88" s="109"/>
      <c r="BK88" s="109"/>
      <c r="BL88" s="109"/>
      <c r="BM88" s="109"/>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BC89" s="109"/>
      <c r="BD89" s="109"/>
      <c r="BE89" s="109"/>
      <c r="BF89" s="109"/>
      <c r="BG89" s="109"/>
      <c r="BH89" s="109"/>
      <c r="BI89" s="109"/>
      <c r="BJ89" s="109"/>
      <c r="BK89" s="109"/>
      <c r="BL89" s="109"/>
      <c r="BM89" s="109"/>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BC90" s="109"/>
      <c r="BD90" s="109"/>
      <c r="BE90" s="109"/>
      <c r="BF90" s="109"/>
      <c r="BG90" s="109"/>
      <c r="BH90" s="109"/>
      <c r="BI90" s="109"/>
      <c r="BJ90" s="109"/>
      <c r="BK90" s="109"/>
      <c r="BL90" s="109"/>
      <c r="BM90" s="109"/>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BC91" s="109"/>
      <c r="BD91" s="109"/>
      <c r="BE91" s="109"/>
      <c r="BF91" s="109"/>
      <c r="BG91" s="109"/>
      <c r="BH91" s="109"/>
      <c r="BI91" s="109"/>
      <c r="BJ91" s="109"/>
      <c r="BK91" s="109"/>
      <c r="BL91" s="109"/>
      <c r="BM91" s="109"/>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BC92" s="109"/>
      <c r="BD92" s="109"/>
      <c r="BE92" s="109"/>
      <c r="BF92" s="109"/>
      <c r="BG92" s="109"/>
      <c r="BH92" s="109"/>
      <c r="BI92" s="109"/>
      <c r="BJ92" s="109"/>
      <c r="BK92" s="109"/>
      <c r="BL92" s="109"/>
      <c r="BM92" s="109"/>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BC93" s="109"/>
      <c r="BD93" s="109"/>
      <c r="BE93" s="109"/>
      <c r="BF93" s="109"/>
      <c r="BG93" s="109"/>
      <c r="BH93" s="109"/>
      <c r="BI93" s="109"/>
      <c r="BJ93" s="109"/>
      <c r="BK93" s="109"/>
      <c r="BL93" s="109"/>
      <c r="BM93" s="109"/>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BC94" s="109"/>
      <c r="BD94" s="109"/>
      <c r="BE94" s="109"/>
      <c r="BF94" s="109"/>
      <c r="BG94" s="109"/>
      <c r="BH94" s="109"/>
      <c r="BI94" s="109"/>
      <c r="BJ94" s="109"/>
      <c r="BK94" s="109"/>
      <c r="BL94" s="109"/>
      <c r="BM94" s="109"/>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BC95" s="109"/>
      <c r="BD95" s="109"/>
      <c r="BE95" s="109"/>
      <c r="BF95" s="109"/>
      <c r="BG95" s="109"/>
      <c r="BH95" s="109"/>
      <c r="BI95" s="109"/>
      <c r="BJ95" s="109"/>
      <c r="BK95" s="109"/>
      <c r="BL95" s="109"/>
      <c r="BM95" s="109"/>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BC96" s="109"/>
      <c r="BD96" s="109"/>
      <c r="BE96" s="109"/>
      <c r="BF96" s="109"/>
      <c r="BG96" s="109"/>
      <c r="BH96" s="109"/>
      <c r="BI96" s="109"/>
      <c r="BJ96" s="109"/>
      <c r="BK96" s="109"/>
      <c r="BL96" s="109"/>
      <c r="BM96" s="109"/>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BC97" s="109"/>
      <c r="BD97" s="109"/>
      <c r="BE97" s="109"/>
      <c r="BF97" s="109"/>
      <c r="BG97" s="109"/>
      <c r="BH97" s="109"/>
      <c r="BI97" s="109"/>
      <c r="BJ97" s="109"/>
      <c r="BK97" s="109"/>
      <c r="BL97" s="109"/>
      <c r="BM97" s="109"/>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BC98" s="109"/>
      <c r="BD98" s="109"/>
      <c r="BE98" s="109"/>
      <c r="BF98" s="109"/>
      <c r="BG98" s="109"/>
      <c r="BH98" s="109"/>
      <c r="BI98" s="109"/>
      <c r="BJ98" s="109"/>
      <c r="BK98" s="109"/>
      <c r="BL98" s="109"/>
      <c r="BM98" s="109"/>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BC99" s="109"/>
      <c r="BD99" s="109"/>
      <c r="BE99" s="109"/>
      <c r="BF99" s="109"/>
      <c r="BG99" s="109"/>
      <c r="BH99" s="109"/>
      <c r="BI99" s="109"/>
      <c r="BJ99" s="109"/>
      <c r="BK99" s="109"/>
      <c r="BL99" s="109"/>
      <c r="BM99" s="109"/>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BC100" s="109"/>
      <c r="BD100" s="109"/>
      <c r="BE100" s="109"/>
      <c r="BF100" s="109"/>
      <c r="BG100" s="109"/>
      <c r="BH100" s="109"/>
      <c r="BI100" s="109"/>
      <c r="BJ100" s="109"/>
      <c r="BK100" s="109"/>
      <c r="BL100" s="109"/>
      <c r="BM100" s="109"/>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BC101" s="109"/>
      <c r="BD101" s="109"/>
      <c r="BE101" s="109"/>
      <c r="BF101" s="109"/>
      <c r="BG101" s="109"/>
      <c r="BH101" s="109"/>
      <c r="BI101" s="109"/>
      <c r="BJ101" s="109"/>
      <c r="BK101" s="109"/>
      <c r="BL101" s="109"/>
      <c r="BM101" s="109"/>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BC102" s="109"/>
      <c r="BD102" s="109"/>
      <c r="BE102" s="109"/>
      <c r="BF102" s="109"/>
      <c r="BG102" s="109"/>
      <c r="BH102" s="109"/>
      <c r="BI102" s="109"/>
      <c r="BJ102" s="109"/>
      <c r="BK102" s="109"/>
      <c r="BL102" s="109"/>
      <c r="BM102" s="109"/>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BC103" s="109"/>
      <c r="BD103" s="109"/>
      <c r="BE103" s="109"/>
      <c r="BF103" s="109"/>
      <c r="BG103" s="109"/>
      <c r="BH103" s="109"/>
      <c r="BI103" s="109"/>
      <c r="BJ103" s="109"/>
      <c r="BK103" s="109"/>
      <c r="BL103" s="109"/>
      <c r="BM103" s="109"/>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BC104" s="109"/>
      <c r="BD104" s="109"/>
      <c r="BE104" s="109"/>
      <c r="BF104" s="109"/>
      <c r="BG104" s="109"/>
      <c r="BH104" s="109"/>
      <c r="BI104" s="109"/>
      <c r="BJ104" s="109"/>
      <c r="BK104" s="109"/>
      <c r="BL104" s="109"/>
      <c r="BM104" s="109"/>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BC105" s="109"/>
      <c r="BD105" s="109"/>
      <c r="BE105" s="109"/>
      <c r="BF105" s="109"/>
      <c r="BG105" s="109"/>
      <c r="BH105" s="109"/>
      <c r="BI105" s="109"/>
      <c r="BJ105" s="109"/>
      <c r="BK105" s="109"/>
      <c r="BL105" s="109"/>
      <c r="BM105" s="109"/>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BC106" s="109"/>
      <c r="BD106" s="109"/>
      <c r="BE106" s="109"/>
      <c r="BF106" s="109"/>
      <c r="BG106" s="109"/>
      <c r="BH106" s="109"/>
      <c r="BI106" s="109"/>
      <c r="BJ106" s="109"/>
      <c r="BK106" s="109"/>
      <c r="BL106" s="109"/>
      <c r="BM106" s="109"/>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BC107" s="109"/>
      <c r="BD107" s="109"/>
      <c r="BE107" s="109"/>
      <c r="BF107" s="109"/>
      <c r="BG107" s="109"/>
      <c r="BH107" s="109"/>
      <c r="BI107" s="109"/>
      <c r="BJ107" s="109"/>
      <c r="BK107" s="109"/>
      <c r="BL107" s="109"/>
      <c r="BM107" s="109"/>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BC108" s="109"/>
      <c r="BD108" s="109"/>
      <c r="BE108" s="109"/>
      <c r="BF108" s="109"/>
      <c r="BG108" s="109"/>
      <c r="BH108" s="109"/>
      <c r="BI108" s="109"/>
      <c r="BJ108" s="109"/>
      <c r="BK108" s="109"/>
      <c r="BL108" s="109"/>
      <c r="BM108" s="109"/>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BC109" s="109"/>
      <c r="BD109" s="109"/>
      <c r="BE109" s="109"/>
      <c r="BF109" s="109"/>
      <c r="BG109" s="109"/>
      <c r="BH109" s="109"/>
      <c r="BI109" s="109"/>
      <c r="BJ109" s="109"/>
      <c r="BK109" s="109"/>
      <c r="BL109" s="109"/>
      <c r="BM109" s="109"/>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BC110" s="109"/>
      <c r="BD110" s="109"/>
      <c r="BE110" s="109"/>
      <c r="BF110" s="109"/>
      <c r="BG110" s="109"/>
      <c r="BH110" s="109"/>
      <c r="BI110" s="109"/>
      <c r="BJ110" s="109"/>
      <c r="BK110" s="109"/>
      <c r="BL110" s="109"/>
      <c r="BM110" s="109"/>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BC111" s="109"/>
      <c r="BD111" s="109"/>
      <c r="BE111" s="109"/>
      <c r="BF111" s="109"/>
      <c r="BG111" s="109"/>
      <c r="BH111" s="109"/>
      <c r="BI111" s="109"/>
      <c r="BJ111" s="109"/>
      <c r="BK111" s="109"/>
      <c r="BL111" s="109"/>
      <c r="BM111" s="109"/>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BC112" s="109"/>
      <c r="BD112" s="109"/>
      <c r="BE112" s="109"/>
      <c r="BF112" s="109"/>
      <c r="BG112" s="109"/>
      <c r="BH112" s="109"/>
      <c r="BI112" s="109"/>
      <c r="BJ112" s="109"/>
      <c r="BK112" s="109"/>
      <c r="BL112" s="109"/>
      <c r="BM112" s="109"/>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BC113" s="109"/>
      <c r="BD113" s="109"/>
      <c r="BE113" s="109"/>
      <c r="BF113" s="109"/>
      <c r="BG113" s="109"/>
      <c r="BH113" s="109"/>
      <c r="BI113" s="109"/>
      <c r="BJ113" s="109"/>
      <c r="BK113" s="109"/>
      <c r="BL113" s="109"/>
      <c r="BM113" s="109"/>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algorithmName="SHA-512" hashValue="TYJ41HhKeoAOpROdsKpwfwlV3SmyzF+/gF9MS+oafYuyoJhVn/I/QQkMYpN1KRGLh4Zj7n3VYPbmC1MsPpgOPQ==" saltValue="qEtPMSwl8zw7kgZwf83yCg==" spinCount="100000" sheet="1" selectLockedCells="1"/>
  <customSheetViews>
    <customSheetView guid="{53803D8B-0A9B-4271-B690-B5F9FC4E36BE}" showPageBreaks="1" printArea="1" showRuler="0">
      <selection sqref="A1:M58"/>
      <pageMargins left="0.25" right="0.25" top="0.23" bottom="0.5" header="0.5" footer="0.5"/>
      <printOptions horizontalCentered="1" verticalCentered="1"/>
      <pageSetup orientation="portrait" blackAndWhite="1" horizontalDpi="300" verticalDpi="300" r:id="rId1"/>
      <headerFooter alignWithMargins="0"/>
    </customSheetView>
    <customSheetView guid="{82DFEA4E-A735-471A-8B59-472DB22D5406}" showPageBreaks="1" printArea="1" showRuler="0" topLeftCell="A57">
      <selection activeCell="M80" sqref="A1:M80"/>
      <pageMargins left="0.25" right="0.25" top="0.2" bottom="0.2" header="0.24" footer="0.23"/>
      <printOptions horizontalCentered="1" verticalCentered="1"/>
      <pageSetup paperSize="5" scale="95" orientation="portrait" blackAndWhite="1" horizontalDpi="300" verticalDpi="300" r:id="rId2"/>
      <headerFooter alignWithMargins="0"/>
    </customSheetView>
    <customSheetView guid="{2FCC383C-10EF-41F0-858D-505CF08BB01B}" showPageBreaks="1" printArea="1" showRuler="0" topLeftCell="A34">
      <selection activeCell="A57" sqref="A57:M80"/>
      <pageMargins left="0.25" right="0.25" top="0.5" bottom="0.5" header="0.5" footer="0.5"/>
      <printOptions horizontalCentered="1" verticalCentered="1"/>
      <pageSetup scale="115" orientation="landscape" blackAndWhite="1" horizontalDpi="300" verticalDpi="300" r:id="rId3"/>
      <headerFooter alignWithMargins="0"/>
    </customSheetView>
    <customSheetView guid="{9711F06F-B5CC-4033-8AB3-0E7E6F635E5F}" showPageBreaks="1" printArea="1" showRuler="0" topLeftCell="A16">
      <selection activeCell="A35" sqref="A35:M58"/>
      <pageMargins left="0.25" right="0.25" top="0.5" bottom="0.5" header="0.5" footer="0.5"/>
      <printOptions horizontalCentered="1" verticalCentered="1"/>
      <pageSetup scale="115" orientation="landscape" blackAndWhite="1" horizontalDpi="300" verticalDpi="300" r:id="rId4"/>
      <headerFooter alignWithMargins="0"/>
    </customSheetView>
    <customSheetView guid="{DB365FA4-8D94-49CF-B333-8C6A4783853B}" showPageBreaks="1" printArea="1" showRuler="0">
      <selection sqref="A1:M35"/>
      <pageMargins left="0.25" right="0.25" top="0.5" bottom="0.5" header="0.5" footer="0.5"/>
      <printOptions horizontalCentered="1" verticalCentered="1"/>
      <pageSetup scale="115" orientation="landscape" blackAndWhite="1" horizontalDpi="300" verticalDpi="300" r:id="rId5"/>
      <headerFooter alignWithMargins="0"/>
    </customSheetView>
  </customSheetViews>
  <mergeCells count="33">
    <mergeCell ref="F39:G39"/>
    <mergeCell ref="E45:G45"/>
    <mergeCell ref="C55:K55"/>
    <mergeCell ref="C2:K2"/>
    <mergeCell ref="C4:K4"/>
    <mergeCell ref="B6:L6"/>
    <mergeCell ref="B11:C11"/>
    <mergeCell ref="K8:L8"/>
    <mergeCell ref="B52:G52"/>
    <mergeCell ref="B53:G53"/>
    <mergeCell ref="D37:I37"/>
    <mergeCell ref="B39:E39"/>
    <mergeCell ref="B40:B41"/>
    <mergeCell ref="E42:G42"/>
    <mergeCell ref="C78:K78"/>
    <mergeCell ref="E60:I60"/>
    <mergeCell ref="B62:E62"/>
    <mergeCell ref="B63:B64"/>
    <mergeCell ref="E65:G65"/>
    <mergeCell ref="F62:G62"/>
    <mergeCell ref="B76:G76"/>
    <mergeCell ref="E68:G68"/>
    <mergeCell ref="B75:G75"/>
    <mergeCell ref="DN7:DO22"/>
    <mergeCell ref="B30:F30"/>
    <mergeCell ref="F22:G22"/>
    <mergeCell ref="E24:G24"/>
    <mergeCell ref="J24:K24"/>
    <mergeCell ref="F25:G25"/>
    <mergeCell ref="B19:B20"/>
    <mergeCell ref="E21:G21"/>
    <mergeCell ref="J21:K21"/>
    <mergeCell ref="F13:F14"/>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AM54 W77" xr:uid="{00000000-0002-0000-0100-000000000000}">
      <formula1>IF(W53=TRUE,TRUE,FALSE)</formula1>
    </dataValidation>
  </dataValidations>
  <hyperlinks>
    <hyperlink ref="K8" r:id="rId6" xr:uid="{00000000-0004-0000-0100-000000000000}"/>
  </hyperlinks>
  <printOptions horizontalCentered="1" verticalCentered="1"/>
  <pageMargins left="0.25" right="0.25" top="0.5" bottom="0.5" header="0.5" footer="0.5"/>
  <pageSetup scale="115" orientation="landscape" blackAndWhite="1"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049" r:id="rId10" name="Drop Down 1">
              <controlPr locked="0" defaultSize="0" autoFill="0" autoLine="0" autoPict="0">
                <anchor moveWithCells="1">
                  <from>
                    <xdr:col>10</xdr:col>
                    <xdr:colOff>541020</xdr:colOff>
                    <xdr:row>19</xdr:row>
                    <xdr:rowOff>144780</xdr:rowOff>
                  </from>
                  <to>
                    <xdr:col>11</xdr:col>
                    <xdr:colOff>670560</xdr:colOff>
                    <xdr:row>21</xdr:row>
                    <xdr:rowOff>0</xdr:rowOff>
                  </to>
                </anchor>
              </controlPr>
            </control>
          </mc:Choice>
        </mc:AlternateContent>
        <mc:AlternateContent xmlns:mc="http://schemas.openxmlformats.org/markup-compatibility/2006">
          <mc:Choice Requires="x14">
            <control shapeId="2050" r:id="rId11" name="Drop Down 2">
              <controlPr locked="0" defaultSize="0" autoFill="0" autoLine="0" autoPict="0">
                <anchor moveWithCells="1">
                  <from>
                    <xdr:col>10</xdr:col>
                    <xdr:colOff>563880</xdr:colOff>
                    <xdr:row>40</xdr:row>
                    <xdr:rowOff>160020</xdr:rowOff>
                  </from>
                  <to>
                    <xdr:col>11</xdr:col>
                    <xdr:colOff>670560</xdr:colOff>
                    <xdr:row>42</xdr:row>
                    <xdr:rowOff>22860</xdr:rowOff>
                  </to>
                </anchor>
              </controlPr>
            </control>
          </mc:Choice>
        </mc:AlternateContent>
        <mc:AlternateContent xmlns:mc="http://schemas.openxmlformats.org/markup-compatibility/2006">
          <mc:Choice Requires="x14">
            <control shapeId="2051" r:id="rId12" name="Drop Down 3">
              <controlPr locked="0" defaultSize="0" autoFill="0" autoLine="0" autoPict="0">
                <anchor moveWithCells="1">
                  <from>
                    <xdr:col>9</xdr:col>
                    <xdr:colOff>76200</xdr:colOff>
                    <xdr:row>16</xdr:row>
                    <xdr:rowOff>160020</xdr:rowOff>
                  </from>
                  <to>
                    <xdr:col>11</xdr:col>
                    <xdr:colOff>655320</xdr:colOff>
                    <xdr:row>18</xdr:row>
                    <xdr:rowOff>22860</xdr:rowOff>
                  </to>
                </anchor>
              </controlPr>
            </control>
          </mc:Choice>
        </mc:AlternateContent>
        <mc:AlternateContent xmlns:mc="http://schemas.openxmlformats.org/markup-compatibility/2006">
          <mc:Choice Requires="x14">
            <control shapeId="2052" r:id="rId13" name="Drop Down 4">
              <controlPr locked="0" defaultSize="0" autoFill="0" autoLine="0" autoPict="0">
                <anchor moveWithCells="1">
                  <from>
                    <xdr:col>9</xdr:col>
                    <xdr:colOff>83820</xdr:colOff>
                    <xdr:row>35</xdr:row>
                    <xdr:rowOff>152400</xdr:rowOff>
                  </from>
                  <to>
                    <xdr:col>11</xdr:col>
                    <xdr:colOff>670560</xdr:colOff>
                    <xdr:row>37</xdr:row>
                    <xdr:rowOff>7620</xdr:rowOff>
                  </to>
                </anchor>
              </controlPr>
            </control>
          </mc:Choice>
        </mc:AlternateContent>
        <mc:AlternateContent xmlns:mc="http://schemas.openxmlformats.org/markup-compatibility/2006">
          <mc:Choice Requires="x14">
            <control shapeId="2053" r:id="rId14" name="Drop Down 5">
              <controlPr locked="0" defaultSize="0" autoFill="0" autoLine="0" autoPict="0">
                <anchor moveWithCells="1">
                  <from>
                    <xdr:col>9</xdr:col>
                    <xdr:colOff>76200</xdr:colOff>
                    <xdr:row>15</xdr:row>
                    <xdr:rowOff>99060</xdr:rowOff>
                  </from>
                  <to>
                    <xdr:col>11</xdr:col>
                    <xdr:colOff>655320</xdr:colOff>
                    <xdr:row>16</xdr:row>
                    <xdr:rowOff>121920</xdr:rowOff>
                  </to>
                </anchor>
              </controlPr>
            </control>
          </mc:Choice>
        </mc:AlternateContent>
        <mc:AlternateContent xmlns:mc="http://schemas.openxmlformats.org/markup-compatibility/2006">
          <mc:Choice Requires="x14">
            <control shapeId="2054" r:id="rId15" name="Drop Down 6">
              <controlPr locked="0" defaultSize="0" autoFill="0" autoLine="0" autoPict="0">
                <anchor moveWithCells="1">
                  <from>
                    <xdr:col>10</xdr:col>
                    <xdr:colOff>541020</xdr:colOff>
                    <xdr:row>22</xdr:row>
                    <xdr:rowOff>160020</xdr:rowOff>
                  </from>
                  <to>
                    <xdr:col>11</xdr:col>
                    <xdr:colOff>670560</xdr:colOff>
                    <xdr:row>24</xdr:row>
                    <xdr:rowOff>22860</xdr:rowOff>
                  </to>
                </anchor>
              </controlPr>
            </control>
          </mc:Choice>
        </mc:AlternateContent>
        <mc:AlternateContent xmlns:mc="http://schemas.openxmlformats.org/markup-compatibility/2006">
          <mc:Choice Requires="x14">
            <control shapeId="2055" r:id="rId16" name="Drop Down 7">
              <controlPr locked="0" defaultSize="0" autoFill="0" autoLine="0" autoPict="0">
                <anchor moveWithCells="1">
                  <from>
                    <xdr:col>10</xdr:col>
                    <xdr:colOff>563880</xdr:colOff>
                    <xdr:row>43</xdr:row>
                    <xdr:rowOff>144780</xdr:rowOff>
                  </from>
                  <to>
                    <xdr:col>11</xdr:col>
                    <xdr:colOff>670560</xdr:colOff>
                    <xdr:row>45</xdr:row>
                    <xdr:rowOff>0</xdr:rowOff>
                  </to>
                </anchor>
              </controlPr>
            </control>
          </mc:Choice>
        </mc:AlternateContent>
        <mc:AlternateContent xmlns:mc="http://schemas.openxmlformats.org/markup-compatibility/2006">
          <mc:Choice Requires="x14">
            <control shapeId="2056" r:id="rId17" name="Drop Down 8">
              <controlPr locked="0" defaultSize="0" autoFill="0" autoLine="0" autoPict="0">
                <anchor moveWithCells="1">
                  <from>
                    <xdr:col>10</xdr:col>
                    <xdr:colOff>388620</xdr:colOff>
                    <xdr:row>37</xdr:row>
                    <xdr:rowOff>22860</xdr:rowOff>
                  </from>
                  <to>
                    <xdr:col>11</xdr:col>
                    <xdr:colOff>670560</xdr:colOff>
                    <xdr:row>38</xdr:row>
                    <xdr:rowOff>45720</xdr:rowOff>
                  </to>
                </anchor>
              </controlPr>
            </control>
          </mc:Choice>
        </mc:AlternateContent>
        <mc:AlternateContent xmlns:mc="http://schemas.openxmlformats.org/markup-compatibility/2006">
          <mc:Choice Requires="x14">
            <control shapeId="2057" r:id="rId18" name="Drop Down 9">
              <controlPr locked="0" defaultSize="0" autoFill="0" autoLine="0" autoPict="0">
                <anchor moveWithCells="1">
                  <from>
                    <xdr:col>10</xdr:col>
                    <xdr:colOff>563880</xdr:colOff>
                    <xdr:row>63</xdr:row>
                    <xdr:rowOff>160020</xdr:rowOff>
                  </from>
                  <to>
                    <xdr:col>11</xdr:col>
                    <xdr:colOff>678180</xdr:colOff>
                    <xdr:row>65</xdr:row>
                    <xdr:rowOff>7620</xdr:rowOff>
                  </to>
                </anchor>
              </controlPr>
            </control>
          </mc:Choice>
        </mc:AlternateContent>
        <mc:AlternateContent xmlns:mc="http://schemas.openxmlformats.org/markup-compatibility/2006">
          <mc:Choice Requires="x14">
            <control shapeId="2058" r:id="rId19" name="Drop Down 10">
              <controlPr locked="0" defaultSize="0" autoFill="0" autoLine="0" autoPict="0">
                <anchor moveWithCells="1">
                  <from>
                    <xdr:col>9</xdr:col>
                    <xdr:colOff>83820</xdr:colOff>
                    <xdr:row>58</xdr:row>
                    <xdr:rowOff>152400</xdr:rowOff>
                  </from>
                  <to>
                    <xdr:col>11</xdr:col>
                    <xdr:colOff>678180</xdr:colOff>
                    <xdr:row>60</xdr:row>
                    <xdr:rowOff>0</xdr:rowOff>
                  </to>
                </anchor>
              </controlPr>
            </control>
          </mc:Choice>
        </mc:AlternateContent>
        <mc:AlternateContent xmlns:mc="http://schemas.openxmlformats.org/markup-compatibility/2006">
          <mc:Choice Requires="x14">
            <control shapeId="2059" r:id="rId20" name="Drop Down 11">
              <controlPr locked="0" defaultSize="0" autoFill="0" autoLine="0" autoPict="0">
                <anchor moveWithCells="1">
                  <from>
                    <xdr:col>10</xdr:col>
                    <xdr:colOff>563880</xdr:colOff>
                    <xdr:row>66</xdr:row>
                    <xdr:rowOff>144780</xdr:rowOff>
                  </from>
                  <to>
                    <xdr:col>11</xdr:col>
                    <xdr:colOff>678180</xdr:colOff>
                    <xdr:row>67</xdr:row>
                    <xdr:rowOff>175260</xdr:rowOff>
                  </to>
                </anchor>
              </controlPr>
            </control>
          </mc:Choice>
        </mc:AlternateContent>
        <mc:AlternateContent xmlns:mc="http://schemas.openxmlformats.org/markup-compatibility/2006">
          <mc:Choice Requires="x14">
            <control shapeId="2060" r:id="rId21" name="Drop Down 12">
              <controlPr locked="0" defaultSize="0" autoFill="0" autoLine="0" autoPict="0">
                <anchor moveWithCells="1">
                  <from>
                    <xdr:col>10</xdr:col>
                    <xdr:colOff>388620</xdr:colOff>
                    <xdr:row>60</xdr:row>
                    <xdr:rowOff>83820</xdr:rowOff>
                  </from>
                  <to>
                    <xdr:col>11</xdr:col>
                    <xdr:colOff>678180</xdr:colOff>
                    <xdr:row>61</xdr:row>
                    <xdr:rowOff>106680</xdr:rowOff>
                  </to>
                </anchor>
              </controlPr>
            </control>
          </mc:Choice>
        </mc:AlternateContent>
        <mc:AlternateContent xmlns:mc="http://schemas.openxmlformats.org/markup-compatibility/2006">
          <mc:Choice Requires="x14">
            <control shapeId="2095" r:id="rId22" name="Drop Down 47">
              <controlPr locked="0" defaultSize="0" autoFill="0" autoLine="0" autoPict="0">
                <anchor moveWithCells="1">
                  <from>
                    <xdr:col>5</xdr:col>
                    <xdr:colOff>601980</xdr:colOff>
                    <xdr:row>17</xdr:row>
                    <xdr:rowOff>7620</xdr:rowOff>
                  </from>
                  <to>
                    <xdr:col>7</xdr:col>
                    <xdr:colOff>99060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Ruler="0" workbookViewId="0">
      <selection sqref="A1:IV65536"/>
    </sheetView>
  </sheetViews>
  <sheetFormatPr defaultRowHeight="13.2"/>
  <sheetData/>
  <customSheetViews>
    <customSheetView guid="{53803D8B-0A9B-4271-B690-B5F9FC4E36BE}" state="hidden" showRuler="0">
      <selection sqref="A1:IV65536"/>
      <pageMargins left="0.75" right="0.75" top="1" bottom="1" header="0.5" footer="0.5"/>
      <headerFooter alignWithMargins="0"/>
    </customSheetView>
    <customSheetView guid="{82DFEA4E-A735-471A-8B59-472DB22D5406}" state="hidden" showRuler="0">
      <selection sqref="A1:IV65536"/>
      <pageMargins left="0.75" right="0.75" top="1" bottom="1" header="0.5" footer="0.5"/>
      <headerFooter alignWithMargins="0"/>
    </customSheetView>
    <customSheetView guid="{2FCC383C-10EF-41F0-858D-505CF08BB01B}" state="hidden" showRuler="0">
      <selection sqref="A1:IV65536"/>
      <pageMargins left="0.75" right="0.75" top="1" bottom="1" header="0.5" footer="0.5"/>
      <headerFooter alignWithMargins="0"/>
    </customSheetView>
    <customSheetView guid="{9711F06F-B5CC-4033-8AB3-0E7E6F635E5F}" state="hidden" showRuler="0">
      <selection sqref="A1:IV65536"/>
      <pageMargins left="0.75" right="0.75" top="1" bottom="1" header="0.5" footer="0.5"/>
      <headerFooter alignWithMargins="0"/>
    </customSheetView>
    <customSheetView guid="{DB365FA4-8D94-49CF-B333-8C6A4783853B}" state="hidden" showRuler="0">
      <selection sqref="A1:IV65536"/>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Ruler="0" workbookViewId="0">
      <selection activeCell="B3" sqref="B3"/>
    </sheetView>
  </sheetViews>
  <sheetFormatPr defaultRowHeight="13.2"/>
  <sheetData/>
  <customSheetViews>
    <customSheetView guid="{53803D8B-0A9B-4271-B690-B5F9FC4E36BE}" state="hidden" showRuler="0">
      <selection activeCell="B3" sqref="B3"/>
      <pageMargins left="0.75" right="0.75" top="1" bottom="1" header="0.5" footer="0.5"/>
      <headerFooter alignWithMargins="0"/>
    </customSheetView>
    <customSheetView guid="{82DFEA4E-A735-471A-8B59-472DB22D5406}" state="hidden" showRuler="0">
      <selection activeCell="B3" sqref="B3"/>
      <pageMargins left="0.75" right="0.75" top="1" bottom="1" header="0.5" footer="0.5"/>
      <headerFooter alignWithMargins="0"/>
    </customSheetView>
    <customSheetView guid="{2FCC383C-10EF-41F0-858D-505CF08BB01B}" state="hidden" showRuler="0">
      <selection activeCell="B3" sqref="B3"/>
      <pageMargins left="0.75" right="0.75" top="1" bottom="1" header="0.5" footer="0.5"/>
      <headerFooter alignWithMargins="0"/>
    </customSheetView>
    <customSheetView guid="{9711F06F-B5CC-4033-8AB3-0E7E6F635E5F}" state="hidden" showRuler="0">
      <selection activeCell="B3" sqref="B3"/>
      <pageMargins left="0.75" right="0.75" top="1" bottom="1" header="0.5" footer="0.5"/>
      <headerFooter alignWithMargins="0"/>
    </customSheetView>
    <customSheetView guid="{DB365FA4-8D94-49CF-B333-8C6A4783853B}" state="hidden" showRuler="0">
      <selection activeCell="B3" sqref="B3"/>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6"/>
  <sheetViews>
    <sheetView showGridLines="0" workbookViewId="0">
      <selection activeCell="G10" sqref="G10"/>
    </sheetView>
  </sheetViews>
  <sheetFormatPr defaultRowHeight="13.2"/>
  <cols>
    <col min="1" max="1" width="1.109375" customWidth="1"/>
    <col min="2" max="2" width="64.44140625" customWidth="1"/>
    <col min="3" max="3" width="1.5546875" customWidth="1"/>
    <col min="4" max="4" width="5.5546875" customWidth="1"/>
    <col min="5" max="6" width="16" customWidth="1"/>
  </cols>
  <sheetData>
    <row r="1" spans="2:6">
      <c r="B1" s="113" t="s">
        <v>137</v>
      </c>
      <c r="C1" s="113"/>
      <c r="D1" s="122"/>
      <c r="E1" s="122"/>
      <c r="F1" s="122"/>
    </row>
    <row r="2" spans="2:6">
      <c r="B2" s="113" t="s">
        <v>138</v>
      </c>
      <c r="C2" s="113"/>
      <c r="D2" s="122"/>
      <c r="E2" s="122"/>
      <c r="F2" s="122"/>
    </row>
    <row r="3" spans="2:6">
      <c r="B3" s="114"/>
      <c r="C3" s="114"/>
      <c r="D3" s="123"/>
      <c r="E3" s="123"/>
      <c r="F3" s="123"/>
    </row>
    <row r="4" spans="2:6" ht="52.8">
      <c r="B4" s="114" t="s">
        <v>139</v>
      </c>
      <c r="C4" s="114"/>
      <c r="D4" s="123"/>
      <c r="E4" s="123"/>
      <c r="F4" s="123"/>
    </row>
    <row r="5" spans="2:6">
      <c r="B5" s="114"/>
      <c r="C5" s="114"/>
      <c r="D5" s="123"/>
      <c r="E5" s="123"/>
      <c r="F5" s="123"/>
    </row>
    <row r="6" spans="2:6">
      <c r="B6" s="113" t="s">
        <v>140</v>
      </c>
      <c r="C6" s="113"/>
      <c r="D6" s="122"/>
      <c r="E6" s="122" t="s">
        <v>141</v>
      </c>
      <c r="F6" s="122" t="s">
        <v>142</v>
      </c>
    </row>
    <row r="7" spans="2:6" ht="13.8" thickBot="1">
      <c r="B7" s="114"/>
      <c r="C7" s="114"/>
      <c r="D7" s="123"/>
      <c r="E7" s="123"/>
      <c r="F7" s="123"/>
    </row>
    <row r="8" spans="2:6" ht="26.4">
      <c r="B8" s="115" t="s">
        <v>143</v>
      </c>
      <c r="C8" s="116"/>
      <c r="D8" s="124"/>
      <c r="E8" s="124">
        <v>2</v>
      </c>
      <c r="F8" s="125"/>
    </row>
    <row r="9" spans="2:6" ht="26.4">
      <c r="B9" s="117"/>
      <c r="C9" s="114"/>
      <c r="D9" s="123"/>
      <c r="E9" s="126" t="s">
        <v>144</v>
      </c>
      <c r="F9" s="127" t="s">
        <v>146</v>
      </c>
    </row>
    <row r="10" spans="2:6" ht="27" thickBot="1">
      <c r="B10" s="118"/>
      <c r="C10" s="119"/>
      <c r="D10" s="128"/>
      <c r="E10" s="129" t="s">
        <v>145</v>
      </c>
      <c r="F10" s="130"/>
    </row>
    <row r="11" spans="2:6">
      <c r="B11" s="114"/>
      <c r="C11" s="114"/>
      <c r="D11" s="123"/>
      <c r="E11" s="123"/>
      <c r="F11" s="123"/>
    </row>
    <row r="12" spans="2:6">
      <c r="B12" s="114"/>
      <c r="C12" s="114"/>
      <c r="D12" s="123"/>
      <c r="E12" s="123"/>
      <c r="F12" s="123"/>
    </row>
    <row r="13" spans="2:6">
      <c r="B13" s="113" t="s">
        <v>147</v>
      </c>
      <c r="C13" s="113"/>
      <c r="D13" s="122"/>
      <c r="E13" s="122"/>
      <c r="F13" s="122"/>
    </row>
    <row r="14" spans="2:6" ht="13.8" thickBot="1">
      <c r="B14" s="114"/>
      <c r="C14" s="114"/>
      <c r="D14" s="123"/>
      <c r="E14" s="123"/>
      <c r="F14" s="123"/>
    </row>
    <row r="15" spans="2:6" ht="40.200000000000003" thickBot="1">
      <c r="B15" s="120" t="s">
        <v>148</v>
      </c>
      <c r="C15" s="121"/>
      <c r="D15" s="131"/>
      <c r="E15" s="131">
        <v>3</v>
      </c>
      <c r="F15" s="132" t="s">
        <v>146</v>
      </c>
    </row>
    <row r="16" spans="2:6">
      <c r="B16" s="114"/>
      <c r="C16" s="114"/>
      <c r="D16" s="123"/>
      <c r="E16" s="123"/>
      <c r="F16" s="123"/>
    </row>
  </sheetData>
  <hyperlinks>
    <hyperlink ref="E9" location="'Example Sheet'!W54" display="'Example Sheet'!W54" xr:uid="{00000000-0004-0000-0400-000000000000}"/>
    <hyperlink ref="E10" location="'Example Sheet'!W77" display="'Example Sheet'!W77" xr:uid="{00000000-0004-0000-04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Example Sheet</vt:lpstr>
      <vt:lpstr>Fault Current Calculation</vt:lpstr>
      <vt:lpstr>Sheet2</vt:lpstr>
      <vt:lpstr>Sheet3</vt:lpstr>
      <vt:lpstr>Compatibility Report</vt:lpstr>
      <vt:lpstr>'Fault Current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Sokolik</dc:creator>
  <cp:lastModifiedBy>Mike Holt</cp:lastModifiedBy>
  <cp:lastPrinted>2014-03-31T18:12:39Z</cp:lastPrinted>
  <dcterms:created xsi:type="dcterms:W3CDTF">2000-12-15T00:58:27Z</dcterms:created>
  <dcterms:modified xsi:type="dcterms:W3CDTF">2021-07-26T16:58:34Z</dcterms:modified>
</cp:coreProperties>
</file>