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D:\Dropbox (MHE)\Leesburg Share\WEBSITE\Free Stuff pages\Publications &amp; Charts on the Free Stuff page\"/>
    </mc:Choice>
  </mc:AlternateContent>
  <xr:revisionPtr revIDLastSave="0" documentId="8_{C2858092-6648-40E4-B4E1-0731A837CC62}" xr6:coauthVersionLast="45" xr6:coauthVersionMax="45" xr10:uidLastSave="{00000000-0000-0000-0000-000000000000}"/>
  <bookViews>
    <workbookView xWindow="34665" yWindow="615" windowWidth="21465" windowHeight="14520" firstSheet="1" activeTab="1" xr2:uid="{00000000-000D-0000-FFFF-FFFF00000000}"/>
  </bookViews>
  <sheets>
    <sheet name="Example Sheet" sheetId="4" r:id="rId1"/>
    <sheet name="Fault Current Calculation" sheetId="1" r:id="rId2"/>
    <sheet name="TABLES" sheetId="6" state="hidden" r:id="rId3"/>
    <sheet name="Sheet2" sheetId="2" state="hidden" r:id="rId4"/>
    <sheet name="Sheet3" sheetId="3" state="hidden" r:id="rId5"/>
    <sheet name="Compatibility Report" sheetId="5" state="hidden" r:id="rId6"/>
  </sheets>
  <definedNames>
    <definedName name="_xlnm.Print_Area" localSheetId="1">'Fault Current Calculation'!$A$1:$M$35</definedName>
    <definedName name="Z_2FCC383C_10EF_41F0_858D_505CF08BB01B_.wvu.PrintArea" localSheetId="1" hidden="1">'Fault Current Calculation'!$A$57:$M$80</definedName>
    <definedName name="Z_53803D8B_0A9B_4271_B690_B5F9FC4E36BE_.wvu.PrintArea" localSheetId="1" hidden="1">'Fault Current Calculation'!$A$1:$M$58</definedName>
    <definedName name="Z_82DFEA4E_A735_471A_8B59_472DB22D5406_.wvu.PrintArea" localSheetId="1" hidden="1">'Fault Current Calculation'!$A$1:$M$80</definedName>
    <definedName name="Z_9711F06F_B5CC_4033_8AB3_0E7E6F635E5F_.wvu.PrintArea" localSheetId="1" hidden="1">'Fault Current Calculation'!$A$35:$M$58</definedName>
    <definedName name="Z_DB365FA4_8D94_49CF_B333_8C6A4783853B_.wvu.PrintArea" localSheetId="1" hidden="1">'Fault Current Calculation'!$A$1:$M$35</definedName>
  </definedNames>
  <calcPr calcId="191029"/>
  <customWorkbookViews>
    <customWorkbookView name="Fault Current @ Service Equipment" guid="{DB365FA4-8D94-49CF-B333-8C6A4783853B}" includeHiddenRowCol="0" maximized="1" windowWidth="1895" windowHeight="889" activeSheetId="1"/>
    <customWorkbookView name="Fault Current Feeder" guid="{9711F06F-B5CC-4033-8AB3-0E7E6F635E5F}" includeHiddenRowCol="0" maximized="1" windowWidth="1895" windowHeight="889" activeSheetId="1"/>
    <customWorkbookView name="Fault Current Branch" guid="{2FCC383C-10EF-41F0-858D-505CF08BB01B}" includeHiddenRowCol="0" maximized="1" windowWidth="1895" windowHeight="889" activeSheetId="1"/>
    <customWorkbookView name="Full sheet (Legal)" guid="{82DFEA4E-A735-471A-8B59-472DB22D5406}" includeHiddenRowCol="0" maximized="1" windowWidth="1895" windowHeight="889" activeSheetId="1"/>
    <customWorkbookView name="Fault Service &amp; Feeder (letter)" guid="{53803D8B-0A9B-4271-B690-B5F9FC4E36BE}" includeHiddenRowCol="0" maximized="1" windowWidth="1895" windowHeight="889"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3" i="1" l="1"/>
  <c r="J32" i="1"/>
  <c r="AH71" i="1"/>
  <c r="AL72" i="1"/>
  <c r="AF73" i="1"/>
  <c r="AN73" i="1" s="1"/>
  <c r="AF71" i="1"/>
  <c r="AN71" i="1" s="1"/>
  <c r="AN58" i="1"/>
  <c r="AI58" i="1"/>
  <c r="AH58" i="1"/>
  <c r="X56" i="1"/>
  <c r="Y72" i="1"/>
  <c r="Y69" i="1"/>
  <c r="X72" i="1"/>
  <c r="X69" i="1"/>
  <c r="S72" i="1"/>
  <c r="S69" i="1"/>
  <c r="S46" i="1"/>
  <c r="R72" i="1"/>
  <c r="R69" i="1"/>
  <c r="Y54" i="1"/>
  <c r="T69" i="1"/>
  <c r="AJ76" i="1"/>
  <c r="AI76" i="1"/>
  <c r="AJ64" i="1"/>
  <c r="AI64" i="1"/>
  <c r="AO49" i="1"/>
  <c r="AN49" i="1"/>
  <c r="AI49" i="1"/>
  <c r="AI46" i="1"/>
  <c r="AH49" i="1"/>
  <c r="AO46" i="1"/>
  <c r="AN46" i="1"/>
  <c r="X46" i="1"/>
  <c r="AH46" i="1"/>
  <c r="AI77" i="1"/>
  <c r="AJ74" i="1"/>
  <c r="AJ73" i="1"/>
  <c r="AJ72" i="1"/>
  <c r="AJ71" i="1"/>
  <c r="AL59" i="1"/>
  <c r="AF60" i="1"/>
  <c r="AI60" i="1" s="1"/>
  <c r="AF58" i="1"/>
  <c r="AO58" i="1" s="1"/>
  <c r="AO73" i="1" l="1"/>
  <c r="AI78" i="1" s="1"/>
  <c r="AH73" i="1"/>
  <c r="AI75" i="1" s="1"/>
  <c r="AI79" i="1" s="1"/>
  <c r="AI71" i="1"/>
  <c r="AO71" i="1"/>
  <c r="AO72" i="1" s="1"/>
  <c r="AJ78" i="1" s="1"/>
  <c r="AI73" i="1"/>
  <c r="AO60" i="1"/>
  <c r="AI65" i="1" s="1"/>
  <c r="AH60" i="1"/>
  <c r="AI62" i="1" s="1"/>
  <c r="AN60" i="1"/>
  <c r="AN72" i="1"/>
  <c r="AJ77" i="1" s="1"/>
  <c r="P56" i="1"/>
  <c r="P54" i="1"/>
  <c r="AJ61" i="1"/>
  <c r="AJ60" i="1"/>
  <c r="AJ59" i="1"/>
  <c r="AJ58" i="1"/>
  <c r="Y56" i="1"/>
  <c r="X54" i="1"/>
  <c r="T61" i="1"/>
  <c r="T59" i="1"/>
  <c r="S61" i="1"/>
  <c r="S58" i="1"/>
  <c r="S59" i="1"/>
  <c r="V55" i="1"/>
  <c r="T57" i="1"/>
  <c r="T56" i="1"/>
  <c r="T55" i="1"/>
  <c r="T54" i="1"/>
  <c r="Y48" i="1"/>
  <c r="Y46" i="1"/>
  <c r="X48" i="1"/>
  <c r="S48" i="1"/>
  <c r="R48" i="1"/>
  <c r="R46" i="1"/>
  <c r="BL58" i="1"/>
  <c r="BL57" i="1"/>
  <c r="BL56" i="1"/>
  <c r="BL55" i="1"/>
  <c r="BL54" i="1"/>
  <c r="BL53" i="1"/>
  <c r="BL52" i="1"/>
  <c r="BL51" i="1"/>
  <c r="BL50" i="1"/>
  <c r="BL49" i="1"/>
  <c r="BL48" i="1"/>
  <c r="BL47" i="1"/>
  <c r="BL46" i="1"/>
  <c r="BL45" i="1"/>
  <c r="BL44" i="1"/>
  <c r="BL43" i="1"/>
  <c r="BL42" i="1"/>
  <c r="BL41" i="1"/>
  <c r="BL40" i="1"/>
  <c r="BL39" i="1"/>
  <c r="BL38" i="1"/>
  <c r="BK48" i="1"/>
  <c r="BK47" i="1"/>
  <c r="BK46" i="1"/>
  <c r="BK45" i="1"/>
  <c r="BK44" i="1"/>
  <c r="BK43" i="1"/>
  <c r="BK42" i="1"/>
  <c r="BK41" i="1"/>
  <c r="BK40" i="1"/>
  <c r="BK39" i="1"/>
  <c r="BK38" i="1"/>
  <c r="BF58" i="1"/>
  <c r="BF57" i="1"/>
  <c r="BF56" i="1"/>
  <c r="BF55" i="1"/>
  <c r="BF54" i="1"/>
  <c r="BF53" i="1"/>
  <c r="BG53" i="1" s="1"/>
  <c r="BF52" i="1"/>
  <c r="BG52" i="1" s="1"/>
  <c r="BF51" i="1"/>
  <c r="BG51" i="1" s="1"/>
  <c r="BF50" i="1"/>
  <c r="BF49" i="1"/>
  <c r="BF48" i="1"/>
  <c r="BG48" i="1" s="1"/>
  <c r="BF47" i="1"/>
  <c r="BF46" i="1"/>
  <c r="BG46" i="1" s="1"/>
  <c r="BF45" i="1"/>
  <c r="BF44" i="1"/>
  <c r="BG44" i="1" s="1"/>
  <c r="BF43" i="1"/>
  <c r="BF42" i="1"/>
  <c r="BF41" i="1"/>
  <c r="BF40" i="1"/>
  <c r="BG40" i="1" s="1"/>
  <c r="BF39" i="1"/>
  <c r="BG39" i="1" s="1"/>
  <c r="BF38" i="1"/>
  <c r="BG50" i="1"/>
  <c r="BG38" i="1"/>
  <c r="BG49" i="1"/>
  <c r="BE58" i="1"/>
  <c r="BE57" i="1"/>
  <c r="BE55" i="1"/>
  <c r="BE53" i="1"/>
  <c r="BE48" i="1"/>
  <c r="BE47" i="1"/>
  <c r="BE46" i="1"/>
  <c r="BE44" i="1"/>
  <c r="BE43" i="1"/>
  <c r="BE42" i="1"/>
  <c r="BE41" i="1"/>
  <c r="BE40" i="1"/>
  <c r="BE39" i="1"/>
  <c r="BE38" i="1"/>
  <c r="BM53" i="1"/>
  <c r="BM52" i="1"/>
  <c r="BM51" i="1"/>
  <c r="BM50" i="1"/>
  <c r="BM49" i="1"/>
  <c r="BM48" i="1"/>
  <c r="BM47" i="1"/>
  <c r="BG47" i="1"/>
  <c r="BM46" i="1"/>
  <c r="BM45" i="1"/>
  <c r="BG45" i="1"/>
  <c r="BM44" i="1"/>
  <c r="BM43" i="1"/>
  <c r="BG43" i="1"/>
  <c r="BM42" i="1"/>
  <c r="BG42" i="1"/>
  <c r="BM41" i="1"/>
  <c r="BG41" i="1"/>
  <c r="BM40" i="1"/>
  <c r="BM39" i="1"/>
  <c r="BM38" i="1"/>
  <c r="H119" i="6"/>
  <c r="H118" i="6"/>
  <c r="H117" i="6"/>
  <c r="H116" i="6"/>
  <c r="H115" i="6"/>
  <c r="H114" i="6"/>
  <c r="H113" i="6"/>
  <c r="H112" i="6"/>
  <c r="H111" i="6"/>
  <c r="H110" i="6"/>
  <c r="H109" i="6"/>
  <c r="H108" i="6"/>
  <c r="H107" i="6"/>
  <c r="H106" i="6"/>
  <c r="H105" i="6"/>
  <c r="H104" i="6"/>
  <c r="H103" i="6"/>
  <c r="H102" i="6"/>
  <c r="H101" i="6"/>
  <c r="H100" i="6"/>
  <c r="H99" i="6"/>
  <c r="Q119" i="6"/>
  <c r="Q118" i="6"/>
  <c r="Q117" i="6"/>
  <c r="Q116" i="6"/>
  <c r="Q115" i="6"/>
  <c r="Q114" i="6"/>
  <c r="Q113" i="6"/>
  <c r="Q112" i="6"/>
  <c r="Q111" i="6"/>
  <c r="Q110" i="6"/>
  <c r="Q109" i="6"/>
  <c r="Q108" i="6"/>
  <c r="Q107" i="6"/>
  <c r="Q106" i="6"/>
  <c r="Q105" i="6"/>
  <c r="Q104" i="6"/>
  <c r="Q103" i="6"/>
  <c r="Q102" i="6"/>
  <c r="Q101" i="6"/>
  <c r="Q100" i="6"/>
  <c r="Q94" i="6"/>
  <c r="Q93" i="6"/>
  <c r="Q92" i="6"/>
  <c r="Q91" i="6"/>
  <c r="Q90" i="6"/>
  <c r="Q89" i="6"/>
  <c r="Q88" i="6"/>
  <c r="Q87" i="6"/>
  <c r="Q86" i="6"/>
  <c r="Q85" i="6"/>
  <c r="Q84" i="6"/>
  <c r="Q83" i="6"/>
  <c r="Q82" i="6"/>
  <c r="Q81" i="6"/>
  <c r="Q80" i="6"/>
  <c r="Q79" i="6"/>
  <c r="Q78" i="6"/>
  <c r="Q77" i="6"/>
  <c r="Q76" i="6"/>
  <c r="Q75" i="6"/>
  <c r="H94" i="6"/>
  <c r="H93" i="6"/>
  <c r="H92" i="6"/>
  <c r="H91" i="6"/>
  <c r="H90" i="6"/>
  <c r="H89" i="6"/>
  <c r="H88" i="6"/>
  <c r="H87" i="6"/>
  <c r="H86" i="6"/>
  <c r="H85" i="6"/>
  <c r="H84" i="6"/>
  <c r="H83" i="6"/>
  <c r="H82" i="6"/>
  <c r="H81" i="6"/>
  <c r="H80" i="6"/>
  <c r="H79" i="6"/>
  <c r="H78" i="6"/>
  <c r="H77" i="6"/>
  <c r="H76" i="6"/>
  <c r="H75" i="6"/>
  <c r="H74" i="6"/>
  <c r="I70" i="6"/>
  <c r="J70" i="6" s="1"/>
  <c r="K70" i="6" s="1"/>
  <c r="I69" i="6"/>
  <c r="J69" i="6" s="1"/>
  <c r="K69" i="6" s="1"/>
  <c r="H55" i="6"/>
  <c r="H54" i="6"/>
  <c r="H53" i="6"/>
  <c r="H52" i="6"/>
  <c r="H51" i="6"/>
  <c r="H50" i="6"/>
  <c r="H49" i="6"/>
  <c r="H48" i="6"/>
  <c r="H47" i="6"/>
  <c r="H46" i="6"/>
  <c r="H45" i="6"/>
  <c r="H44" i="6"/>
  <c r="H43" i="6"/>
  <c r="H42" i="6"/>
  <c r="H41" i="6"/>
  <c r="H40" i="6"/>
  <c r="H39" i="6"/>
  <c r="H38" i="6"/>
  <c r="H37" i="6"/>
  <c r="H36" i="6"/>
  <c r="H35" i="6"/>
  <c r="Q55" i="6"/>
  <c r="Q54" i="6"/>
  <c r="Q53" i="6"/>
  <c r="Q52" i="6"/>
  <c r="Q51" i="6"/>
  <c r="Q50" i="6"/>
  <c r="Q49" i="6"/>
  <c r="Q48" i="6"/>
  <c r="Q47" i="6"/>
  <c r="Q46" i="6"/>
  <c r="Q45" i="6"/>
  <c r="Q44" i="6"/>
  <c r="Q43" i="6"/>
  <c r="Q42" i="6"/>
  <c r="Q41" i="6"/>
  <c r="Q40" i="6"/>
  <c r="Q39" i="6"/>
  <c r="Q38" i="6"/>
  <c r="Q37" i="6"/>
  <c r="Q36" i="6"/>
  <c r="Q30" i="6"/>
  <c r="Q29" i="6"/>
  <c r="Q28" i="6"/>
  <c r="Q27" i="6"/>
  <c r="Q26" i="6"/>
  <c r="Q25" i="6"/>
  <c r="Q24" i="6"/>
  <c r="Q23" i="6"/>
  <c r="Q22" i="6"/>
  <c r="Q21" i="6"/>
  <c r="Q20" i="6"/>
  <c r="Q19" i="6"/>
  <c r="Q18" i="6"/>
  <c r="Q17" i="6"/>
  <c r="Q16" i="6"/>
  <c r="Q15" i="6"/>
  <c r="Q14" i="6"/>
  <c r="Q13" i="6"/>
  <c r="Q12" i="6"/>
  <c r="Q11" i="6"/>
  <c r="H30" i="6"/>
  <c r="H29" i="6"/>
  <c r="H28" i="6"/>
  <c r="H27" i="6"/>
  <c r="H26" i="6"/>
  <c r="H25" i="6"/>
  <c r="H24" i="6"/>
  <c r="H23" i="6"/>
  <c r="H22" i="6"/>
  <c r="H21" i="6"/>
  <c r="H20" i="6"/>
  <c r="H19" i="6"/>
  <c r="H18" i="6"/>
  <c r="H17" i="6"/>
  <c r="H16" i="6"/>
  <c r="H15" i="6"/>
  <c r="H14" i="6"/>
  <c r="H13" i="6"/>
  <c r="H12" i="6"/>
  <c r="H11" i="6"/>
  <c r="H10" i="6"/>
  <c r="I6" i="6"/>
  <c r="J6" i="6" s="1"/>
  <c r="K6" i="6" s="1"/>
  <c r="I5" i="6"/>
  <c r="J5" i="6" s="1"/>
  <c r="K5" i="6" s="1"/>
  <c r="O119" i="6"/>
  <c r="P119" i="6" s="1"/>
  <c r="F119" i="6"/>
  <c r="G119" i="6" s="1"/>
  <c r="BK58" i="1" s="1"/>
  <c r="O118" i="6"/>
  <c r="P118" i="6" s="1"/>
  <c r="F118" i="6"/>
  <c r="G118" i="6" s="1"/>
  <c r="BK57" i="1" s="1"/>
  <c r="O117" i="6"/>
  <c r="P117" i="6" s="1"/>
  <c r="F117" i="6"/>
  <c r="G117" i="6" s="1"/>
  <c r="BK56" i="1" s="1"/>
  <c r="O116" i="6"/>
  <c r="P116" i="6" s="1"/>
  <c r="F116" i="6"/>
  <c r="G116" i="6" s="1"/>
  <c r="BK55" i="1" s="1"/>
  <c r="O115" i="6"/>
  <c r="P115" i="6" s="1"/>
  <c r="F115" i="6"/>
  <c r="G115" i="6" s="1"/>
  <c r="BK54" i="1" s="1"/>
  <c r="O114" i="6"/>
  <c r="P114" i="6" s="1"/>
  <c r="F114" i="6"/>
  <c r="G114" i="6" s="1"/>
  <c r="BK53" i="1" s="1"/>
  <c r="O113" i="6"/>
  <c r="P113" i="6" s="1"/>
  <c r="F113" i="6"/>
  <c r="G113" i="6" s="1"/>
  <c r="BK52" i="1" s="1"/>
  <c r="O112" i="6"/>
  <c r="P112" i="6" s="1"/>
  <c r="F112" i="6"/>
  <c r="G112" i="6" s="1"/>
  <c r="BK51" i="1" s="1"/>
  <c r="O111" i="6"/>
  <c r="P111" i="6" s="1"/>
  <c r="F111" i="6"/>
  <c r="G111" i="6" s="1"/>
  <c r="BK50" i="1" s="1"/>
  <c r="O110" i="6"/>
  <c r="P110" i="6" s="1"/>
  <c r="F110" i="6"/>
  <c r="G110" i="6" s="1"/>
  <c r="BK49" i="1" s="1"/>
  <c r="O109" i="6"/>
  <c r="P109" i="6" s="1"/>
  <c r="F109" i="6"/>
  <c r="G109" i="6" s="1"/>
  <c r="O108" i="6"/>
  <c r="P108" i="6" s="1"/>
  <c r="F108" i="6"/>
  <c r="G108" i="6" s="1"/>
  <c r="O107" i="6"/>
  <c r="P107" i="6" s="1"/>
  <c r="F107" i="6"/>
  <c r="G107" i="6" s="1"/>
  <c r="O106" i="6"/>
  <c r="P106" i="6" s="1"/>
  <c r="F106" i="6"/>
  <c r="G106" i="6" s="1"/>
  <c r="O105" i="6"/>
  <c r="P105" i="6" s="1"/>
  <c r="G105" i="6"/>
  <c r="F105" i="6"/>
  <c r="O104" i="6"/>
  <c r="P104" i="6" s="1"/>
  <c r="F104" i="6"/>
  <c r="G104" i="6" s="1"/>
  <c r="O103" i="6"/>
  <c r="P103" i="6" s="1"/>
  <c r="F103" i="6"/>
  <c r="G103" i="6" s="1"/>
  <c r="O102" i="6"/>
  <c r="P102" i="6" s="1"/>
  <c r="F102" i="6"/>
  <c r="G102" i="6" s="1"/>
  <c r="O101" i="6"/>
  <c r="P101" i="6" s="1"/>
  <c r="F101" i="6"/>
  <c r="G101" i="6" s="1"/>
  <c r="O100" i="6"/>
  <c r="P100" i="6" s="1"/>
  <c r="F100" i="6"/>
  <c r="G100" i="6" s="1"/>
  <c r="F99" i="6"/>
  <c r="G99" i="6" s="1"/>
  <c r="O94" i="6"/>
  <c r="P94" i="6" s="1"/>
  <c r="F94" i="6"/>
  <c r="G94" i="6" s="1"/>
  <c r="O93" i="6"/>
  <c r="P93" i="6" s="1"/>
  <c r="F93" i="6"/>
  <c r="G93" i="6" s="1"/>
  <c r="O92" i="6"/>
  <c r="P92" i="6" s="1"/>
  <c r="F92" i="6"/>
  <c r="G92" i="6" s="1"/>
  <c r="BE56" i="1" s="1"/>
  <c r="O91" i="6"/>
  <c r="P91" i="6" s="1"/>
  <c r="F91" i="6"/>
  <c r="G91" i="6" s="1"/>
  <c r="O90" i="6"/>
  <c r="P90" i="6" s="1"/>
  <c r="F90" i="6"/>
  <c r="G90" i="6" s="1"/>
  <c r="BE54" i="1" s="1"/>
  <c r="O89" i="6"/>
  <c r="P89" i="6" s="1"/>
  <c r="F89" i="6"/>
  <c r="G89" i="6" s="1"/>
  <c r="O88" i="6"/>
  <c r="P88" i="6" s="1"/>
  <c r="F88" i="6"/>
  <c r="G88" i="6" s="1"/>
  <c r="BE52" i="1" s="1"/>
  <c r="O87" i="6"/>
  <c r="P87" i="6" s="1"/>
  <c r="F87" i="6"/>
  <c r="G87" i="6" s="1"/>
  <c r="BE51" i="1" s="1"/>
  <c r="O86" i="6"/>
  <c r="P86" i="6" s="1"/>
  <c r="F86" i="6"/>
  <c r="G86" i="6" s="1"/>
  <c r="BE50" i="1" s="1"/>
  <c r="O85" i="6"/>
  <c r="P85" i="6" s="1"/>
  <c r="F85" i="6"/>
  <c r="G85" i="6" s="1"/>
  <c r="BE49" i="1" s="1"/>
  <c r="P84" i="6"/>
  <c r="O84" i="6"/>
  <c r="F84" i="6"/>
  <c r="G84" i="6" s="1"/>
  <c r="O83" i="6"/>
  <c r="P83" i="6" s="1"/>
  <c r="F83" i="6"/>
  <c r="G83" i="6" s="1"/>
  <c r="O82" i="6"/>
  <c r="P82" i="6" s="1"/>
  <c r="F82" i="6"/>
  <c r="G82" i="6" s="1"/>
  <c r="O81" i="6"/>
  <c r="P81" i="6" s="1"/>
  <c r="F81" i="6"/>
  <c r="G81" i="6" s="1"/>
  <c r="BE45" i="1" s="1"/>
  <c r="O80" i="6"/>
  <c r="P80" i="6" s="1"/>
  <c r="F80" i="6"/>
  <c r="G80" i="6" s="1"/>
  <c r="O79" i="6"/>
  <c r="P79" i="6" s="1"/>
  <c r="F79" i="6"/>
  <c r="G79" i="6" s="1"/>
  <c r="O78" i="6"/>
  <c r="P78" i="6" s="1"/>
  <c r="F78" i="6"/>
  <c r="G78" i="6" s="1"/>
  <c r="O77" i="6"/>
  <c r="P77" i="6" s="1"/>
  <c r="F77" i="6"/>
  <c r="G77" i="6" s="1"/>
  <c r="O76" i="6"/>
  <c r="P76" i="6" s="1"/>
  <c r="F76" i="6"/>
  <c r="G76" i="6" s="1"/>
  <c r="O75" i="6"/>
  <c r="P75" i="6" s="1"/>
  <c r="F75" i="6"/>
  <c r="G75" i="6" s="1"/>
  <c r="F74" i="6"/>
  <c r="G74" i="6" s="1"/>
  <c r="O55" i="6"/>
  <c r="P55" i="6" s="1"/>
  <c r="G55" i="6"/>
  <c r="F55" i="6"/>
  <c r="O54" i="6"/>
  <c r="P54" i="6" s="1"/>
  <c r="G54" i="6"/>
  <c r="F54" i="6"/>
  <c r="O53" i="6"/>
  <c r="P53" i="6" s="1"/>
  <c r="G53" i="6"/>
  <c r="F53" i="6"/>
  <c r="O52" i="6"/>
  <c r="P52" i="6" s="1"/>
  <c r="G52" i="6"/>
  <c r="F52" i="6"/>
  <c r="O51" i="6"/>
  <c r="P51" i="6" s="1"/>
  <c r="G51" i="6"/>
  <c r="F51" i="6"/>
  <c r="O50" i="6"/>
  <c r="P50" i="6" s="1"/>
  <c r="G50" i="6"/>
  <c r="F50" i="6"/>
  <c r="O49" i="6"/>
  <c r="P49" i="6" s="1"/>
  <c r="G49" i="6"/>
  <c r="F49" i="6"/>
  <c r="O48" i="6"/>
  <c r="P48" i="6" s="1"/>
  <c r="G48" i="6"/>
  <c r="F48" i="6"/>
  <c r="O47" i="6"/>
  <c r="P47" i="6" s="1"/>
  <c r="G47" i="6"/>
  <c r="F47" i="6"/>
  <c r="O46" i="6"/>
  <c r="P46" i="6" s="1"/>
  <c r="G46" i="6"/>
  <c r="F46" i="6"/>
  <c r="O45" i="6"/>
  <c r="P45" i="6" s="1"/>
  <c r="G45" i="6"/>
  <c r="F45" i="6"/>
  <c r="O44" i="6"/>
  <c r="P44" i="6" s="1"/>
  <c r="G44" i="6"/>
  <c r="F44" i="6"/>
  <c r="O43" i="6"/>
  <c r="P43" i="6" s="1"/>
  <c r="G43" i="6"/>
  <c r="F43" i="6"/>
  <c r="O42" i="6"/>
  <c r="P42" i="6" s="1"/>
  <c r="G42" i="6"/>
  <c r="F42" i="6"/>
  <c r="O41" i="6"/>
  <c r="P41" i="6" s="1"/>
  <c r="G41" i="6"/>
  <c r="F41" i="6"/>
  <c r="O40" i="6"/>
  <c r="P40" i="6" s="1"/>
  <c r="G40" i="6"/>
  <c r="F40" i="6"/>
  <c r="O39" i="6"/>
  <c r="P39" i="6" s="1"/>
  <c r="G39" i="6"/>
  <c r="F39" i="6"/>
  <c r="O38" i="6"/>
  <c r="P38" i="6" s="1"/>
  <c r="G38" i="6"/>
  <c r="F38" i="6"/>
  <c r="O37" i="6"/>
  <c r="P37" i="6" s="1"/>
  <c r="G37" i="6"/>
  <c r="F37" i="6"/>
  <c r="O36" i="6"/>
  <c r="P36" i="6" s="1"/>
  <c r="G36" i="6"/>
  <c r="F36" i="6"/>
  <c r="F35" i="6"/>
  <c r="G35" i="6" s="1"/>
  <c r="P30" i="6"/>
  <c r="O30" i="6"/>
  <c r="F30" i="6"/>
  <c r="G30" i="6" s="1"/>
  <c r="P29" i="6"/>
  <c r="O29" i="6"/>
  <c r="F29" i="6"/>
  <c r="G29" i="6" s="1"/>
  <c r="P28" i="6"/>
  <c r="O28" i="6"/>
  <c r="F28" i="6"/>
  <c r="G28" i="6" s="1"/>
  <c r="P27" i="6"/>
  <c r="O27" i="6"/>
  <c r="F27" i="6"/>
  <c r="G27" i="6" s="1"/>
  <c r="P26" i="6"/>
  <c r="O26" i="6"/>
  <c r="F26" i="6"/>
  <c r="G26" i="6" s="1"/>
  <c r="P25" i="6"/>
  <c r="O25" i="6"/>
  <c r="F25" i="6"/>
  <c r="G25" i="6" s="1"/>
  <c r="P24" i="6"/>
  <c r="O24" i="6"/>
  <c r="F24" i="6"/>
  <c r="G24" i="6" s="1"/>
  <c r="P23" i="6"/>
  <c r="O23" i="6"/>
  <c r="F23" i="6"/>
  <c r="G23" i="6" s="1"/>
  <c r="P22" i="6"/>
  <c r="O22" i="6"/>
  <c r="F22" i="6"/>
  <c r="G22" i="6" s="1"/>
  <c r="P21" i="6"/>
  <c r="O21" i="6"/>
  <c r="F21" i="6"/>
  <c r="G21" i="6" s="1"/>
  <c r="P20" i="6"/>
  <c r="O20" i="6"/>
  <c r="F20" i="6"/>
  <c r="G20" i="6" s="1"/>
  <c r="P19" i="6"/>
  <c r="O19" i="6"/>
  <c r="F19" i="6"/>
  <c r="G19" i="6" s="1"/>
  <c r="P18" i="6"/>
  <c r="O18" i="6"/>
  <c r="F18" i="6"/>
  <c r="G18" i="6" s="1"/>
  <c r="P17" i="6"/>
  <c r="O17" i="6"/>
  <c r="F17" i="6"/>
  <c r="G17" i="6" s="1"/>
  <c r="P16" i="6"/>
  <c r="O16" i="6"/>
  <c r="F16" i="6"/>
  <c r="G16" i="6" s="1"/>
  <c r="P15" i="6"/>
  <c r="O15" i="6"/>
  <c r="F15" i="6"/>
  <c r="G15" i="6" s="1"/>
  <c r="P14" i="6"/>
  <c r="O14" i="6"/>
  <c r="F14" i="6"/>
  <c r="G14" i="6" s="1"/>
  <c r="P13" i="6"/>
  <c r="O13" i="6"/>
  <c r="F13" i="6"/>
  <c r="G13" i="6" s="1"/>
  <c r="P12" i="6"/>
  <c r="O12" i="6"/>
  <c r="F12" i="6"/>
  <c r="G12" i="6" s="1"/>
  <c r="P11" i="6"/>
  <c r="O11" i="6"/>
  <c r="F11" i="6"/>
  <c r="G11" i="6" s="1"/>
  <c r="F10" i="6"/>
  <c r="G10" i="6" s="1"/>
  <c r="AO59" i="1" l="1"/>
  <c r="AJ65" i="1" s="1"/>
  <c r="R56" i="1"/>
  <c r="AH59" i="1"/>
  <c r="AJ62" i="1" s="1"/>
  <c r="AI63" i="1"/>
  <c r="AI66" i="1" s="1"/>
  <c r="AI72" i="1"/>
  <c r="R54" i="1"/>
  <c r="S56" i="1"/>
  <c r="S54" i="1"/>
  <c r="X55" i="1"/>
  <c r="T60" i="1" s="1"/>
  <c r="Y55" i="1"/>
  <c r="AN59" i="1"/>
  <c r="S60" i="1"/>
  <c r="S62" i="1" s="1"/>
  <c r="AC25" i="1" s="1"/>
  <c r="AI59" i="1" l="1"/>
  <c r="AJ63" i="1" s="1"/>
  <c r="AJ66" i="1" s="1"/>
  <c r="R55" i="1"/>
  <c r="T58" i="1" s="1"/>
  <c r="T62" i="1" s="1"/>
  <c r="AC26" i="1" s="1"/>
  <c r="AH72" i="1"/>
  <c r="AJ75" i="1" s="1"/>
  <c r="AJ79" i="1" s="1"/>
  <c r="S55" i="1"/>
  <c r="S25" i="1" l="1"/>
  <c r="S24" i="1"/>
  <c r="S23" i="1"/>
  <c r="S22" i="1"/>
  <c r="S21" i="1"/>
  <c r="S20" i="1"/>
  <c r="S19" i="1"/>
  <c r="S18" i="1"/>
  <c r="S17" i="1"/>
  <c r="S16" i="1"/>
  <c r="S15" i="1"/>
  <c r="S14" i="1"/>
  <c r="S13" i="1"/>
  <c r="S12" i="1"/>
  <c r="S11" i="1"/>
  <c r="S10" i="1"/>
  <c r="V47" i="1" l="1"/>
  <c r="BM25" i="1" l="1"/>
  <c r="BG25" i="1"/>
  <c r="BM24" i="1"/>
  <c r="BG24" i="1"/>
  <c r="BM23" i="1"/>
  <c r="BG23" i="1"/>
  <c r="BM22" i="1"/>
  <c r="BG22" i="1"/>
  <c r="BM21" i="1"/>
  <c r="BG21" i="1"/>
  <c r="BM20" i="1"/>
  <c r="BG20" i="1"/>
  <c r="BM19" i="1"/>
  <c r="BG19" i="1"/>
  <c r="BM18" i="1"/>
  <c r="BG18" i="1"/>
  <c r="BM17" i="1"/>
  <c r="BG17" i="1"/>
  <c r="BM16" i="1"/>
  <c r="BG16" i="1"/>
  <c r="BM15" i="1"/>
  <c r="BG15" i="1"/>
  <c r="BM14" i="1"/>
  <c r="BG14" i="1"/>
  <c r="BM13" i="1"/>
  <c r="BG13" i="1"/>
  <c r="BM12" i="1"/>
  <c r="BG12" i="1"/>
  <c r="BM11" i="1"/>
  <c r="BG11" i="1"/>
  <c r="BM10" i="1"/>
  <c r="BG10" i="1"/>
  <c r="V35" i="1"/>
  <c r="V40" i="1"/>
  <c r="I25" i="1" s="1"/>
  <c r="S34" i="1"/>
  <c r="S35" i="1"/>
  <c r="P35" i="1"/>
  <c r="S36" i="1"/>
  <c r="S37" i="1"/>
  <c r="V41" i="1"/>
  <c r="I22" i="1" s="1"/>
  <c r="AB19" i="1"/>
  <c r="V34" i="1"/>
  <c r="I9" i="1" s="1"/>
  <c r="V37" i="1" s="1"/>
  <c r="I10" i="1" s="1"/>
  <c r="I15" i="1" s="1"/>
  <c r="I19" i="1" s="1"/>
  <c r="AD41" i="1"/>
  <c r="AD42" i="1"/>
  <c r="Y50" i="1"/>
  <c r="AI51" i="1"/>
  <c r="V51" i="1"/>
  <c r="U65" i="1"/>
  <c r="X80" i="1" s="1"/>
  <c r="X79" i="1"/>
  <c r="Y67" i="1"/>
  <c r="S75" i="1"/>
  <c r="V68" i="1"/>
  <c r="U65" i="4"/>
  <c r="W78" i="4" s="1"/>
  <c r="X79" i="4"/>
  <c r="W80" i="4"/>
  <c r="T74" i="4"/>
  <c r="T75" i="4"/>
  <c r="T76" i="4"/>
  <c r="T77" i="4"/>
  <c r="S74" i="4"/>
  <c r="S75" i="4"/>
  <c r="S76" i="4"/>
  <c r="S77" i="4"/>
  <c r="W77" i="4"/>
  <c r="W76" i="4"/>
  <c r="V34" i="4"/>
  <c r="I9" i="4" s="1"/>
  <c r="V37" i="4"/>
  <c r="I10" i="4" s="1"/>
  <c r="I15" i="4"/>
  <c r="I19" i="4" s="1"/>
  <c r="R40" i="4"/>
  <c r="R42" i="4"/>
  <c r="R41" i="4" s="1"/>
  <c r="T34" i="4"/>
  <c r="S42" i="4"/>
  <c r="S40" i="4"/>
  <c r="T35" i="4"/>
  <c r="T36" i="4"/>
  <c r="T37" i="4"/>
  <c r="V38" i="4"/>
  <c r="I25" i="4" s="1"/>
  <c r="P35" i="4"/>
  <c r="T51" i="4"/>
  <c r="T52" i="4"/>
  <c r="T53" i="4"/>
  <c r="T54" i="4"/>
  <c r="S34" i="4"/>
  <c r="S35" i="4"/>
  <c r="S36" i="4"/>
  <c r="S37" i="4"/>
  <c r="V35" i="4"/>
  <c r="V39" i="4"/>
  <c r="I22" i="4" s="1"/>
  <c r="S51" i="4"/>
  <c r="S52" i="4"/>
  <c r="S53" i="4"/>
  <c r="S54" i="4"/>
  <c r="Y67" i="4"/>
  <c r="T73" i="4"/>
  <c r="Y72" i="4"/>
  <c r="X72" i="4"/>
  <c r="T72" i="4"/>
  <c r="S72" i="4"/>
  <c r="S70" i="4" s="1"/>
  <c r="R72" i="4"/>
  <c r="T71" i="4"/>
  <c r="Y69" i="4"/>
  <c r="X69" i="4"/>
  <c r="T70" i="4"/>
  <c r="S69" i="4"/>
  <c r="R69" i="4"/>
  <c r="T69" i="4"/>
  <c r="Z58" i="4"/>
  <c r="Z59" i="4"/>
  <c r="Z60" i="4"/>
  <c r="Z61" i="4"/>
  <c r="Z62" i="4"/>
  <c r="Z63" i="4"/>
  <c r="AA58" i="4"/>
  <c r="AA59" i="4"/>
  <c r="AA60" i="4"/>
  <c r="AA61" i="4"/>
  <c r="AA62" i="4"/>
  <c r="AA63" i="4"/>
  <c r="AB65" i="4"/>
  <c r="AB61" i="4"/>
  <c r="AB63" i="4"/>
  <c r="AC61" i="4" s="1"/>
  <c r="AD61" i="4" s="1"/>
  <c r="AB66" i="4" s="1"/>
  <c r="AD62" i="4"/>
  <c r="AD63" i="4"/>
  <c r="V68" i="4"/>
  <c r="J68" i="4"/>
  <c r="V67" i="4"/>
  <c r="C63" i="4" s="1"/>
  <c r="J65" i="4"/>
  <c r="AA57" i="4"/>
  <c r="T40" i="4"/>
  <c r="T41" i="4"/>
  <c r="T42" i="4"/>
  <c r="T43" i="4"/>
  <c r="T44" i="4"/>
  <c r="T46" i="4"/>
  <c r="T47" i="4"/>
  <c r="T48" i="4"/>
  <c r="T49" i="4"/>
  <c r="T50" i="4"/>
  <c r="T56" i="4"/>
  <c r="Z34" i="4"/>
  <c r="Z35" i="4"/>
  <c r="Z36" i="4"/>
  <c r="Z37" i="4"/>
  <c r="Z38" i="4"/>
  <c r="Z39" i="4"/>
  <c r="AA34" i="4"/>
  <c r="AA35" i="4"/>
  <c r="AA36" i="4"/>
  <c r="AA37" i="4"/>
  <c r="AA38" i="4"/>
  <c r="AA39" i="4"/>
  <c r="AB41" i="4"/>
  <c r="AB37" i="4"/>
  <c r="AC37" i="4" s="1"/>
  <c r="AD37" i="4" s="1"/>
  <c r="AB42" i="4" s="1"/>
  <c r="AB39" i="4"/>
  <c r="AD38" i="4"/>
  <c r="AD39" i="4"/>
  <c r="Y44" i="4"/>
  <c r="Y49" i="4"/>
  <c r="X49" i="4"/>
  <c r="S49" i="4"/>
  <c r="R49" i="4"/>
  <c r="Y46" i="4"/>
  <c r="X46" i="4"/>
  <c r="S46" i="4"/>
  <c r="R46" i="4"/>
  <c r="R47" i="4" s="1"/>
  <c r="V45" i="4"/>
  <c r="J45" i="4"/>
  <c r="V44" i="4"/>
  <c r="C40" i="4" s="1"/>
  <c r="Y42" i="4"/>
  <c r="X42" i="4"/>
  <c r="J42" i="4"/>
  <c r="Y40" i="4"/>
  <c r="X40" i="4"/>
  <c r="X41" i="4" s="1"/>
  <c r="V41" i="4"/>
  <c r="C19" i="4" s="1"/>
  <c r="V36" i="4"/>
  <c r="B11" i="4" s="1"/>
  <c r="AA33" i="4"/>
  <c r="T10" i="4"/>
  <c r="T26" i="4" s="1"/>
  <c r="T11" i="4"/>
  <c r="T12" i="4"/>
  <c r="T13" i="4"/>
  <c r="T14" i="4"/>
  <c r="T15" i="4"/>
  <c r="T16" i="4"/>
  <c r="T17" i="4"/>
  <c r="T18" i="4"/>
  <c r="T19" i="4"/>
  <c r="T20" i="4"/>
  <c r="T21" i="4"/>
  <c r="T22" i="4"/>
  <c r="T23" i="4"/>
  <c r="T24" i="4"/>
  <c r="T25" i="4"/>
  <c r="Y25" i="4"/>
  <c r="S25" i="4"/>
  <c r="Y24" i="4"/>
  <c r="S24" i="4"/>
  <c r="Y23" i="4"/>
  <c r="S23" i="4"/>
  <c r="Y22" i="4"/>
  <c r="S22" i="4"/>
  <c r="Y21" i="4"/>
  <c r="S21" i="4"/>
  <c r="Y20" i="4"/>
  <c r="S20" i="4"/>
  <c r="Y19" i="4"/>
  <c r="S19" i="4"/>
  <c r="Y18" i="4"/>
  <c r="S18" i="4"/>
  <c r="Y17" i="4"/>
  <c r="S17" i="4"/>
  <c r="Y16" i="4"/>
  <c r="S16" i="4"/>
  <c r="Y15" i="4"/>
  <c r="S15" i="4"/>
  <c r="Y14" i="4"/>
  <c r="S14" i="4"/>
  <c r="Y13" i="4"/>
  <c r="S13" i="4"/>
  <c r="Y12" i="4"/>
  <c r="S12" i="4"/>
  <c r="Y11" i="4"/>
  <c r="S11" i="4"/>
  <c r="Y10" i="4"/>
  <c r="S10" i="4"/>
  <c r="C19" i="1"/>
  <c r="V36" i="1"/>
  <c r="B11" i="1" s="1"/>
  <c r="AI52" i="1"/>
  <c r="AI54" i="1"/>
  <c r="V50" i="1"/>
  <c r="C40" i="1" s="1"/>
  <c r="S77" i="1"/>
  <c r="T46" i="1"/>
  <c r="T47" i="1"/>
  <c r="T48" i="1"/>
  <c r="T49" i="1"/>
  <c r="T50" i="1"/>
  <c r="AJ46" i="1"/>
  <c r="AJ47" i="1"/>
  <c r="AJ48" i="1"/>
  <c r="AJ49" i="1"/>
  <c r="AJ50" i="1"/>
  <c r="W80" i="1"/>
  <c r="W77" i="1"/>
  <c r="W76" i="1"/>
  <c r="T73" i="1"/>
  <c r="S76" i="1"/>
  <c r="T72" i="1"/>
  <c r="S74" i="1"/>
  <c r="T71" i="1"/>
  <c r="T70" i="1"/>
  <c r="Z58" i="1"/>
  <c r="Z59" i="1"/>
  <c r="Z60" i="1"/>
  <c r="Z61" i="1"/>
  <c r="Z62" i="1"/>
  <c r="Z63" i="1"/>
  <c r="AA58" i="1"/>
  <c r="AA59" i="1"/>
  <c r="AA60" i="1"/>
  <c r="AA61" i="1"/>
  <c r="AA62" i="1"/>
  <c r="AA63" i="1"/>
  <c r="AB65" i="1"/>
  <c r="AB61" i="1"/>
  <c r="AB63" i="1"/>
  <c r="AD62" i="1"/>
  <c r="AD63" i="1"/>
  <c r="V67" i="1"/>
  <c r="C63" i="1" s="1"/>
  <c r="AA57" i="1"/>
  <c r="AA33" i="1"/>
  <c r="T10" i="1"/>
  <c r="T11" i="1"/>
  <c r="T12" i="1"/>
  <c r="T13" i="1"/>
  <c r="T14" i="1"/>
  <c r="T15" i="1"/>
  <c r="T16" i="1"/>
  <c r="T17" i="1"/>
  <c r="T18" i="1"/>
  <c r="T19" i="1"/>
  <c r="T20" i="1"/>
  <c r="T21" i="1"/>
  <c r="T22" i="1"/>
  <c r="T23" i="1"/>
  <c r="T24" i="1"/>
  <c r="T25" i="1"/>
  <c r="Y25" i="1"/>
  <c r="Y24" i="1"/>
  <c r="Y23" i="1"/>
  <c r="Y22" i="1"/>
  <c r="Y21" i="1"/>
  <c r="Y20" i="1"/>
  <c r="Y19" i="1"/>
  <c r="Y18" i="1"/>
  <c r="Y17" i="1"/>
  <c r="Y16" i="1"/>
  <c r="Y15" i="1"/>
  <c r="Y14" i="1"/>
  <c r="Y13" i="1"/>
  <c r="Y12" i="1"/>
  <c r="Y11" i="1"/>
  <c r="Y10" i="1"/>
  <c r="X78" i="4"/>
  <c r="AI53" i="1"/>
  <c r="S41" i="4" l="1"/>
  <c r="S47" i="4"/>
  <c r="X70" i="4"/>
  <c r="Y78" i="4"/>
  <c r="I69" i="4"/>
  <c r="Z40" i="4"/>
  <c r="AB40" i="4" s="1"/>
  <c r="AB67" i="1"/>
  <c r="AC61" i="1"/>
  <c r="AD61" i="1" s="1"/>
  <c r="AB66" i="1" s="1"/>
  <c r="Y41" i="4"/>
  <c r="AA64" i="1"/>
  <c r="X80" i="4"/>
  <c r="I46" i="4"/>
  <c r="X47" i="4"/>
  <c r="AA40" i="4"/>
  <c r="W79" i="4"/>
  <c r="Y79" i="4" s="1"/>
  <c r="Y70" i="4"/>
  <c r="AD44" i="1"/>
  <c r="AM51" i="1" s="1"/>
  <c r="B39" i="1" s="1"/>
  <c r="S70" i="1"/>
  <c r="T75" i="1" s="1"/>
  <c r="Y70" i="1"/>
  <c r="T77" i="1" s="1"/>
  <c r="S78" i="1"/>
  <c r="AC75" i="1" s="1"/>
  <c r="AD75" i="1" s="1"/>
  <c r="I65" i="1" s="1"/>
  <c r="S55" i="4"/>
  <c r="I42" i="4" s="1"/>
  <c r="I44" i="4" s="1"/>
  <c r="I49" i="4" s="1"/>
  <c r="AH47" i="1"/>
  <c r="AJ51" i="1" s="1"/>
  <c r="R47" i="1"/>
  <c r="T34" i="1" s="1"/>
  <c r="AA64" i="4"/>
  <c r="T78" i="4"/>
  <c r="I68" i="4" s="1"/>
  <c r="I70" i="4" s="1"/>
  <c r="I73" i="4" s="1"/>
  <c r="Y47" i="4"/>
  <c r="S78" i="4"/>
  <c r="I65" i="4" s="1"/>
  <c r="I67" i="4" s="1"/>
  <c r="I72" i="4" s="1"/>
  <c r="R70" i="4"/>
  <c r="AN47" i="1"/>
  <c r="AJ53" i="1" s="1"/>
  <c r="Z64" i="1"/>
  <c r="R70" i="1"/>
  <c r="T74" i="1" s="1"/>
  <c r="AB67" i="4"/>
  <c r="T55" i="4"/>
  <c r="I45" i="4" s="1"/>
  <c r="I47" i="4" s="1"/>
  <c r="I50" i="4" s="1"/>
  <c r="S38" i="4"/>
  <c r="I21" i="4" s="1"/>
  <c r="I23" i="4" s="1"/>
  <c r="I28" i="4" s="1"/>
  <c r="J32" i="4" s="1"/>
  <c r="I40" i="4" s="1"/>
  <c r="T26" i="1"/>
  <c r="X70" i="1"/>
  <c r="T76" i="1" s="1"/>
  <c r="T38" i="4"/>
  <c r="I24" i="4" s="1"/>
  <c r="I26" i="4" s="1"/>
  <c r="I29" i="4" s="1"/>
  <c r="J33" i="4" s="1"/>
  <c r="K40" i="4" s="1"/>
  <c r="AO47" i="1"/>
  <c r="AJ54" i="1" s="1"/>
  <c r="AB43" i="4"/>
  <c r="Z64" i="4"/>
  <c r="S47" i="1"/>
  <c r="T35" i="1" s="1"/>
  <c r="X78" i="1"/>
  <c r="AI55" i="1"/>
  <c r="AC52" i="1" s="1"/>
  <c r="AI47" i="1"/>
  <c r="AJ52" i="1" s="1"/>
  <c r="Y47" i="1"/>
  <c r="T37" i="1" s="1"/>
  <c r="X47" i="1"/>
  <c r="T36" i="1" s="1"/>
  <c r="S40" i="1"/>
  <c r="I43" i="4"/>
  <c r="W79" i="1"/>
  <c r="Y79" i="1" s="1"/>
  <c r="I66" i="4"/>
  <c r="W78" i="1"/>
  <c r="AC22" i="1" l="1"/>
  <c r="AC30" i="1" s="1"/>
  <c r="I21" i="1" s="1"/>
  <c r="I23" i="1" s="1"/>
  <c r="I28" i="1" s="1"/>
  <c r="AJ55" i="1"/>
  <c r="AC53" i="1" s="1"/>
  <c r="AB44" i="4"/>
  <c r="W51" i="4" s="1"/>
  <c r="B39" i="4" s="1"/>
  <c r="AB64" i="4"/>
  <c r="AB68" i="4" s="1"/>
  <c r="J53" i="4"/>
  <c r="K63" i="4" s="1"/>
  <c r="J76" i="4" s="1"/>
  <c r="T78" i="1"/>
  <c r="AC76" i="1" s="1"/>
  <c r="AD76" i="1" s="1"/>
  <c r="I68" i="1" s="1"/>
  <c r="J52" i="4"/>
  <c r="I63" i="4" s="1"/>
  <c r="J75" i="4" s="1"/>
  <c r="AB64" i="1"/>
  <c r="AB68" i="1" s="1"/>
  <c r="Y78" i="1"/>
  <c r="Y76" i="1" s="1"/>
  <c r="Z80" i="1" s="1"/>
  <c r="Z81" i="1" s="1"/>
  <c r="Y76" i="4"/>
  <c r="AP51" i="1"/>
  <c r="T57" i="4"/>
  <c r="T40" i="1"/>
  <c r="AC23" i="1" s="1"/>
  <c r="AC31" i="1" s="1"/>
  <c r="I24" i="1" s="1"/>
  <c r="F46" i="1" l="1"/>
  <c r="I42" i="1"/>
  <c r="I45" i="1"/>
  <c r="Z80" i="4"/>
  <c r="Z81" i="4" s="1"/>
  <c r="X82" i="4"/>
  <c r="Y80" i="4" s="1"/>
  <c r="W74" i="4" s="1"/>
  <c r="B62" i="4" s="1"/>
  <c r="X82" i="1"/>
  <c r="Y80" i="1" s="1"/>
  <c r="I43" i="1"/>
  <c r="J46" i="1"/>
  <c r="F49" i="1"/>
  <c r="B52" i="1"/>
  <c r="I40" i="1"/>
  <c r="L40" i="1"/>
  <c r="B53" i="1"/>
  <c r="J40" i="1"/>
  <c r="J43" i="1"/>
  <c r="E45" i="1"/>
  <c r="F41" i="1"/>
  <c r="F50" i="1"/>
  <c r="J45" i="1"/>
  <c r="E42" i="1"/>
  <c r="F43" i="1"/>
  <c r="F39" i="1"/>
  <c r="F40" i="1"/>
  <c r="J42" i="1"/>
  <c r="I46" i="1"/>
  <c r="I26" i="1"/>
  <c r="W74" i="1" l="1"/>
  <c r="B62" i="1" s="1"/>
  <c r="I44" i="1"/>
  <c r="I49" i="1" s="1"/>
  <c r="J52" i="1" s="1"/>
  <c r="I63" i="1" s="1"/>
  <c r="I29" i="1"/>
  <c r="Z74" i="1" l="1"/>
  <c r="J66" i="1" s="1"/>
  <c r="F62" i="1"/>
  <c r="J69" i="1"/>
  <c r="F66" i="1"/>
  <c r="J68" i="1"/>
  <c r="J63" i="1"/>
  <c r="K40" i="1"/>
  <c r="F72" i="1" l="1"/>
  <c r="F64" i="1"/>
  <c r="F69" i="1"/>
  <c r="F73" i="1"/>
  <c r="E68" i="1"/>
  <c r="I66" i="1"/>
  <c r="I67" i="1" s="1"/>
  <c r="I72" i="1" s="1"/>
  <c r="J75" i="1" s="1"/>
  <c r="J65" i="1"/>
  <c r="F63" i="1"/>
  <c r="L63" i="1"/>
  <c r="E65" i="1"/>
  <c r="I69" i="1"/>
  <c r="B76" i="1"/>
  <c r="B75" i="1"/>
  <c r="I47" i="1"/>
  <c r="I50" i="1" s="1"/>
  <c r="J53" i="1" l="1"/>
  <c r="K63" i="1" s="1"/>
  <c r="I70" i="1" s="1"/>
  <c r="I73" i="1" s="1"/>
  <c r="J76" i="1" s="1"/>
  <c r="J10" i="6"/>
  <c r="K10" i="6" s="1"/>
  <c r="L10" i="6" s="1"/>
  <c r="L15" i="6"/>
  <c r="K15" i="6"/>
  <c r="J15" i="6"/>
  <c r="J23" i="6"/>
  <c r="K23" i="6" s="1"/>
  <c r="L23" i="6" s="1"/>
  <c r="J25" i="6"/>
  <c r="K25" i="6" s="1"/>
  <c r="L25" i="6" s="1"/>
  <c r="J16" i="6"/>
  <c r="K16" i="6" s="1"/>
  <c r="L16" i="6" s="1"/>
  <c r="J22" i="6"/>
  <c r="K22" i="6" s="1"/>
  <c r="L22" i="6" s="1"/>
  <c r="J18" i="6"/>
  <c r="K18" i="6"/>
  <c r="L18" i="6" s="1"/>
  <c r="J14" i="6"/>
  <c r="K14" i="6"/>
  <c r="L14" i="6"/>
  <c r="K29" i="6"/>
  <c r="L29" i="6" s="1"/>
  <c r="J29" i="6"/>
  <c r="J24" i="6"/>
  <c r="K24" i="6"/>
  <c r="L24" i="6"/>
  <c r="J28" i="6"/>
  <c r="K28" i="6"/>
  <c r="L28" i="6" s="1"/>
  <c r="J17" i="6"/>
  <c r="K17" i="6" s="1"/>
  <c r="L17" i="6" s="1"/>
  <c r="J30" i="6"/>
  <c r="K30" i="6"/>
  <c r="L30" i="6" s="1"/>
  <c r="J27" i="6"/>
  <c r="K27" i="6" s="1"/>
  <c r="L27" i="6" s="1"/>
  <c r="J20" i="6"/>
  <c r="K20" i="6"/>
  <c r="L20" i="6" s="1"/>
  <c r="J19" i="6"/>
  <c r="K19" i="6"/>
  <c r="L19" i="6" s="1"/>
  <c r="J11" i="6"/>
  <c r="K11" i="6"/>
  <c r="L11" i="6"/>
  <c r="J12" i="6"/>
  <c r="K12" i="6" s="1"/>
  <c r="L12" i="6" s="1"/>
  <c r="J21" i="6"/>
  <c r="K21" i="6"/>
  <c r="L21" i="6" s="1"/>
  <c r="J26" i="6"/>
  <c r="K26" i="6" s="1"/>
  <c r="L26" i="6" s="1"/>
  <c r="J13" i="6"/>
  <c r="K13" i="6"/>
  <c r="L13" i="6"/>
  <c r="S11" i="6"/>
  <c r="T11" i="6" s="1"/>
  <c r="U11" i="6" s="1"/>
  <c r="S12" i="6"/>
  <c r="T12" i="6" s="1"/>
  <c r="U12" i="6" s="1"/>
  <c r="T28" i="6"/>
  <c r="U28" i="6" s="1"/>
  <c r="S28" i="6"/>
  <c r="S26" i="6"/>
  <c r="T26" i="6" s="1"/>
  <c r="U26" i="6" s="1"/>
  <c r="S23" i="6"/>
  <c r="T23" i="6" s="1"/>
  <c r="U23" i="6" s="1"/>
  <c r="S17" i="6"/>
  <c r="T17" i="6" s="1"/>
  <c r="U17" i="6" s="1"/>
  <c r="S20" i="6"/>
  <c r="T20" i="6" s="1"/>
  <c r="U20" i="6" s="1"/>
  <c r="S18" i="6"/>
  <c r="T18" i="6" s="1"/>
  <c r="U18" i="6" s="1"/>
  <c r="S14" i="6"/>
  <c r="T14" i="6"/>
  <c r="U14" i="6" s="1"/>
  <c r="S16" i="6"/>
  <c r="T16" i="6"/>
  <c r="U16" i="6"/>
  <c r="S21" i="6"/>
  <c r="T21" i="6" s="1"/>
  <c r="U21" i="6" s="1"/>
  <c r="S15" i="6"/>
  <c r="T15" i="6"/>
  <c r="U15" i="6"/>
  <c r="S27" i="6"/>
  <c r="T27" i="6" s="1"/>
  <c r="U27" i="6" s="1"/>
  <c r="S25" i="6"/>
  <c r="T25" i="6" s="1"/>
  <c r="U25" i="6" s="1"/>
  <c r="S19" i="6"/>
  <c r="T19" i="6" s="1"/>
  <c r="U19" i="6" s="1"/>
  <c r="S24" i="6"/>
  <c r="T24" i="6"/>
  <c r="U24" i="6"/>
  <c r="S30" i="6"/>
  <c r="T30" i="6"/>
  <c r="U30" i="6"/>
  <c r="S29" i="6"/>
  <c r="T29" i="6"/>
  <c r="U29" i="6"/>
  <c r="S22" i="6"/>
  <c r="T22" i="6"/>
  <c r="U22" i="6"/>
  <c r="S13" i="6"/>
  <c r="T13" i="6" s="1"/>
  <c r="U13" i="6" s="1"/>
  <c r="S38" i="6"/>
  <c r="T38" i="6" s="1"/>
  <c r="U38" i="6" s="1"/>
  <c r="S36" i="6"/>
  <c r="T36" i="6" s="1"/>
  <c r="U36" i="6" s="1"/>
  <c r="S42" i="6"/>
  <c r="T42" i="6"/>
  <c r="U42" i="6"/>
  <c r="U41" i="6"/>
  <c r="T41" i="6"/>
  <c r="S41" i="6"/>
  <c r="S37" i="6"/>
  <c r="T37" i="6" s="1"/>
  <c r="U37" i="6" s="1"/>
  <c r="T51" i="6"/>
  <c r="U51" i="6" s="1"/>
  <c r="S51" i="6"/>
  <c r="U53" i="6"/>
  <c r="T53" i="6"/>
  <c r="S53" i="6"/>
  <c r="S49" i="6"/>
  <c r="T49" i="6" s="1"/>
  <c r="U49" i="6" s="1"/>
  <c r="S44" i="6"/>
  <c r="T44" i="6" s="1"/>
  <c r="U44" i="6" s="1"/>
  <c r="S54" i="6"/>
  <c r="T54" i="6" s="1"/>
  <c r="U54" i="6" s="1"/>
  <c r="S45" i="6"/>
  <c r="T45" i="6" s="1"/>
  <c r="U45" i="6" s="1"/>
  <c r="T48" i="6"/>
  <c r="U48" i="6" s="1"/>
  <c r="S48" i="6"/>
  <c r="T50" i="6"/>
  <c r="U50" i="6" s="1"/>
  <c r="S50" i="6"/>
  <c r="S47" i="6"/>
  <c r="T47" i="6"/>
  <c r="U47" i="6" s="1"/>
  <c r="S43" i="6"/>
  <c r="T43" i="6"/>
  <c r="U43" i="6"/>
  <c r="S39" i="6"/>
  <c r="T39" i="6"/>
  <c r="U39" i="6" s="1"/>
  <c r="S52" i="6"/>
  <c r="T52" i="6" s="1"/>
  <c r="U52" i="6" s="1"/>
  <c r="S55" i="6"/>
  <c r="T55" i="6" s="1"/>
  <c r="U55" i="6" s="1"/>
  <c r="S46" i="6"/>
  <c r="T46" i="6" s="1"/>
  <c r="U46" i="6" s="1"/>
  <c r="S40" i="6"/>
  <c r="T40" i="6" s="1"/>
  <c r="U40" i="6" s="1"/>
  <c r="J35" i="6"/>
  <c r="K35" i="6" s="1"/>
  <c r="J86" i="6" l="1"/>
  <c r="K86" i="6" s="1"/>
  <c r="L86" i="6" s="1"/>
  <c r="J48" i="6"/>
  <c r="K48" i="6" s="1"/>
  <c r="L48" i="6" s="1"/>
  <c r="J106" i="6"/>
  <c r="K106" i="6" s="1"/>
  <c r="L106" i="6" s="1"/>
  <c r="J74" i="6"/>
  <c r="K74" i="6" s="1"/>
  <c r="L74" i="6" s="1"/>
  <c r="J92" i="6"/>
  <c r="K92" i="6" s="1"/>
  <c r="L92" i="6" s="1"/>
  <c r="J107" i="6"/>
  <c r="K107" i="6" s="1"/>
  <c r="L107" i="6" s="1"/>
  <c r="J37" i="6"/>
  <c r="K37" i="6" s="1"/>
  <c r="L37" i="6" s="1"/>
  <c r="J50" i="6"/>
  <c r="K50" i="6" s="1"/>
  <c r="L50" i="6" s="1"/>
  <c r="J38" i="6"/>
  <c r="K38" i="6" s="1"/>
  <c r="L38" i="6" s="1"/>
  <c r="J117" i="6"/>
  <c r="K117" i="6" s="1"/>
  <c r="L117" i="6" s="1"/>
  <c r="J45" i="6"/>
  <c r="K45" i="6" s="1"/>
  <c r="L45" i="6" s="1"/>
  <c r="J41" i="6"/>
  <c r="K41" i="6" s="1"/>
  <c r="L41" i="6" s="1"/>
  <c r="J104" i="6"/>
  <c r="K104" i="6" s="1"/>
  <c r="L104" i="6" s="1"/>
  <c r="J88" i="6"/>
  <c r="K88" i="6" s="1"/>
  <c r="L88" i="6" s="1"/>
  <c r="J80" i="6"/>
  <c r="K80" i="6" s="1"/>
  <c r="L80" i="6" s="1"/>
  <c r="J118" i="6"/>
  <c r="K118" i="6" s="1"/>
  <c r="L118" i="6" s="1"/>
  <c r="J116" i="6"/>
  <c r="K116" i="6" s="1"/>
  <c r="L116" i="6" s="1"/>
  <c r="J115" i="6"/>
  <c r="K115" i="6" s="1"/>
  <c r="L115" i="6" s="1"/>
  <c r="J55" i="6"/>
  <c r="K55" i="6" s="1"/>
  <c r="L55" i="6" s="1"/>
  <c r="J91" i="6"/>
  <c r="K91" i="6" s="1"/>
  <c r="L91" i="6" s="1"/>
  <c r="J108" i="6"/>
  <c r="K108" i="6" s="1"/>
  <c r="L108" i="6" s="1"/>
  <c r="J43" i="6"/>
  <c r="K43" i="6" s="1"/>
  <c r="L43" i="6" s="1"/>
  <c r="J76" i="6"/>
  <c r="K76" i="6" s="1"/>
  <c r="L76" i="6" s="1"/>
  <c r="J109" i="6"/>
  <c r="K109" i="6" s="1"/>
  <c r="L109" i="6" s="1"/>
  <c r="J78" i="6"/>
  <c r="K78" i="6" s="1"/>
  <c r="L78" i="6" s="1"/>
  <c r="J52" i="6"/>
  <c r="K52" i="6" s="1"/>
  <c r="L52" i="6" s="1"/>
  <c r="L35" i="6"/>
  <c r="J99" i="6"/>
  <c r="K99" i="6" s="1"/>
  <c r="L99" i="6" s="1"/>
  <c r="J114" i="6"/>
  <c r="K114" i="6" s="1"/>
  <c r="L114" i="6" s="1"/>
  <c r="J94" i="6"/>
  <c r="K94" i="6" s="1"/>
  <c r="L94" i="6" s="1"/>
  <c r="J44" i="6"/>
  <c r="K44" i="6" s="1"/>
  <c r="L44" i="6" s="1"/>
  <c r="J84" i="6"/>
  <c r="K84" i="6" s="1"/>
  <c r="L84" i="6" s="1"/>
  <c r="J53" i="6"/>
  <c r="K53" i="6" s="1"/>
  <c r="L53" i="6" s="1"/>
  <c r="J111" i="6"/>
  <c r="K111" i="6" s="1"/>
  <c r="L111" i="6" s="1"/>
  <c r="J82" i="6"/>
  <c r="K82" i="6" s="1"/>
  <c r="L82" i="6" s="1"/>
  <c r="J54" i="6"/>
  <c r="K54" i="6" s="1"/>
  <c r="L54" i="6" s="1"/>
  <c r="J119" i="6"/>
  <c r="K119" i="6" s="1"/>
  <c r="L119" i="6" s="1"/>
  <c r="J36" i="6"/>
  <c r="K36" i="6" s="1"/>
  <c r="J110" i="6"/>
  <c r="K110" i="6" s="1"/>
  <c r="L110" i="6" s="1"/>
  <c r="J90" i="6"/>
  <c r="K90" i="6" s="1"/>
  <c r="L90" i="6" s="1"/>
  <c r="J79" i="6"/>
  <c r="K79" i="6" s="1"/>
  <c r="L79" i="6" s="1"/>
  <c r="J93" i="6"/>
  <c r="K93" i="6" s="1"/>
  <c r="L93" i="6" s="1"/>
  <c r="J100" i="6"/>
  <c r="K100" i="6" s="1"/>
  <c r="L100" i="6" s="1"/>
  <c r="J112" i="6"/>
  <c r="K112" i="6" s="1"/>
  <c r="L112" i="6" s="1"/>
  <c r="J103" i="6"/>
  <c r="K103" i="6" s="1"/>
  <c r="L103" i="6" s="1"/>
  <c r="J47" i="6"/>
  <c r="K47" i="6" s="1"/>
  <c r="L47" i="6" s="1"/>
  <c r="J105" i="6"/>
  <c r="K105" i="6" s="1"/>
  <c r="L105" i="6" s="1"/>
  <c r="J42" i="6"/>
  <c r="K42" i="6" s="1"/>
  <c r="L42" i="6" s="1"/>
  <c r="J113" i="6"/>
  <c r="K113" i="6" s="1"/>
  <c r="L113" i="6" s="1"/>
  <c r="J85" i="6"/>
  <c r="K85" i="6" s="1"/>
  <c r="L85" i="6" s="1"/>
  <c r="J101" i="6"/>
  <c r="K101" i="6" s="1"/>
  <c r="L101" i="6" s="1"/>
  <c r="J89" i="6"/>
  <c r="K89" i="6" s="1"/>
  <c r="L89" i="6" s="1"/>
  <c r="J81" i="6"/>
  <c r="K81" i="6" s="1"/>
  <c r="L81" i="6" s="1"/>
  <c r="J49" i="6"/>
  <c r="K49" i="6" s="1"/>
  <c r="L49" i="6" s="1"/>
  <c r="J83" i="6"/>
  <c r="K83" i="6" s="1"/>
  <c r="L83" i="6" s="1"/>
  <c r="J46" i="6"/>
  <c r="K46" i="6" s="1"/>
  <c r="L46" i="6" s="1"/>
  <c r="J51" i="6"/>
  <c r="K51" i="6" s="1"/>
  <c r="L51" i="6" s="1"/>
  <c r="J77" i="6"/>
  <c r="K77" i="6" s="1"/>
  <c r="L77" i="6" s="1"/>
  <c r="J40" i="6"/>
  <c r="K40" i="6" s="1"/>
  <c r="L40" i="6" s="1"/>
  <c r="J87" i="6"/>
  <c r="K87" i="6" s="1"/>
  <c r="L87" i="6" s="1"/>
  <c r="J39" i="6"/>
  <c r="K39" i="6" s="1"/>
  <c r="L39" i="6" s="1"/>
  <c r="J75" i="6"/>
  <c r="K75" i="6" s="1"/>
  <c r="L75" i="6" s="1"/>
  <c r="J102" i="6"/>
  <c r="K102" i="6" s="1"/>
  <c r="L102" i="6" s="1"/>
  <c r="L36" i="6" l="1"/>
  <c r="S78" i="6"/>
  <c r="T78" i="6" s="1"/>
  <c r="U78" i="6" s="1"/>
  <c r="S104" i="6"/>
  <c r="T104" i="6" s="1"/>
  <c r="U104" i="6" s="1"/>
  <c r="S91" i="6"/>
  <c r="T91" i="6" s="1"/>
  <c r="U91" i="6" s="1"/>
  <c r="S101" i="6"/>
  <c r="T101" i="6" s="1"/>
  <c r="U101" i="6" s="1"/>
  <c r="S111" i="6"/>
  <c r="T111" i="6" s="1"/>
  <c r="U111" i="6" s="1"/>
  <c r="S90" i="6"/>
  <c r="T90" i="6" s="1"/>
  <c r="U90" i="6" s="1"/>
  <c r="S106" i="6"/>
  <c r="T106" i="6" s="1"/>
  <c r="U106" i="6" s="1"/>
  <c r="S89" i="6"/>
  <c r="T89" i="6" s="1"/>
  <c r="U89" i="6" s="1"/>
  <c r="S118" i="6"/>
  <c r="T118" i="6" s="1"/>
  <c r="U118" i="6" s="1"/>
  <c r="S108" i="6"/>
  <c r="T108" i="6" s="1"/>
  <c r="U108" i="6" s="1"/>
  <c r="S92" i="6"/>
  <c r="T92" i="6" s="1"/>
  <c r="U92" i="6" s="1"/>
  <c r="S105" i="6"/>
  <c r="T105" i="6" s="1"/>
  <c r="U105" i="6" s="1"/>
  <c r="S112" i="6"/>
  <c r="T112" i="6" s="1"/>
  <c r="U112" i="6" s="1"/>
  <c r="S116" i="6"/>
  <c r="T116" i="6" s="1"/>
  <c r="U116" i="6" s="1"/>
  <c r="S107" i="6"/>
  <c r="T107" i="6" s="1"/>
  <c r="U107" i="6" s="1"/>
  <c r="S84" i="6"/>
  <c r="T84" i="6" s="1"/>
  <c r="U84" i="6" s="1"/>
  <c r="S76" i="6"/>
  <c r="T76" i="6" s="1"/>
  <c r="U76" i="6" s="1"/>
  <c r="S93" i="6"/>
  <c r="T93" i="6" s="1"/>
  <c r="U93" i="6" s="1"/>
  <c r="S86" i="6"/>
  <c r="T86" i="6" s="1"/>
  <c r="U86" i="6" s="1"/>
  <c r="S114" i="6"/>
  <c r="T114" i="6" s="1"/>
  <c r="U114" i="6" s="1"/>
  <c r="S81" i="6"/>
  <c r="T81" i="6" s="1"/>
  <c r="U81" i="6" s="1"/>
  <c r="S94" i="6"/>
  <c r="T94" i="6" s="1"/>
  <c r="U94" i="6" s="1"/>
  <c r="S83" i="6"/>
  <c r="T83" i="6" s="1"/>
  <c r="U83" i="6" s="1"/>
  <c r="S100" i="6"/>
  <c r="T100" i="6" s="1"/>
  <c r="U100" i="6" s="1"/>
  <c r="S82" i="6"/>
  <c r="T82" i="6" s="1"/>
  <c r="U82" i="6" s="1"/>
  <c r="S87" i="6"/>
  <c r="T87" i="6" s="1"/>
  <c r="U87" i="6" s="1"/>
  <c r="S85" i="6"/>
  <c r="T85" i="6" s="1"/>
  <c r="U85" i="6" s="1"/>
  <c r="S77" i="6"/>
  <c r="T77" i="6" s="1"/>
  <c r="U77" i="6" s="1"/>
  <c r="S88" i="6"/>
  <c r="T88" i="6" s="1"/>
  <c r="U88" i="6" s="1"/>
  <c r="S80" i="6"/>
  <c r="T80" i="6" s="1"/>
  <c r="U80" i="6" s="1"/>
  <c r="S117" i="6"/>
  <c r="T117" i="6" s="1"/>
  <c r="U117" i="6" s="1"/>
  <c r="S115" i="6"/>
  <c r="T115" i="6" s="1"/>
  <c r="U115" i="6" s="1"/>
  <c r="S109" i="6"/>
  <c r="T109" i="6" s="1"/>
  <c r="U109" i="6" s="1"/>
  <c r="S102" i="6"/>
  <c r="T102" i="6" s="1"/>
  <c r="U102" i="6" s="1"/>
  <c r="S103" i="6"/>
  <c r="T103" i="6" s="1"/>
  <c r="U103" i="6" s="1"/>
  <c r="S79" i="6"/>
  <c r="T79" i="6" s="1"/>
  <c r="U79" i="6" s="1"/>
  <c r="S113" i="6"/>
  <c r="T113" i="6" s="1"/>
  <c r="U113" i="6" s="1"/>
  <c r="S119" i="6"/>
  <c r="T119" i="6" s="1"/>
  <c r="U119" i="6" s="1"/>
  <c r="S75" i="6"/>
  <c r="T75" i="6" s="1"/>
  <c r="U75" i="6" s="1"/>
  <c r="S110" i="6"/>
  <c r="T110" i="6" s="1"/>
  <c r="U110"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John Sokolik</author>
    <author>John &amp; Carole Sokolik</author>
    <author>John  Sokolik</author>
  </authors>
  <commentList>
    <comment ref="F8" authorId="0" shapeId="0" xr:uid="{00000000-0006-0000-0000-000001000000}">
      <text>
        <r>
          <rPr>
            <sz val="8"/>
            <color indexed="81"/>
            <rFont val="Tahoma"/>
            <family val="2"/>
          </rPr>
          <t>When the fault current is provided by the governing utility insert the value here. 
KVA and transformer impedence is not required to continue.
Go to  L=   ,and  insert footage of conductor length.</t>
        </r>
      </text>
    </comment>
    <comment ref="I8" authorId="0" shapeId="0" xr:uid="{00000000-0006-0000-0000-000002000000}">
      <text>
        <r>
          <rPr>
            <sz val="8"/>
            <color indexed="81"/>
            <rFont val="Tahoma"/>
            <family val="2"/>
          </rPr>
          <t>If you have inserted the Utility Fault Current amps, inserting the kVA in this cell is not required.
If available fault current is not known, insert transformer kVA rating here.</t>
        </r>
      </text>
    </comment>
    <comment ref="I9" authorId="1" shapeId="0" xr:uid="{00000000-0006-0000-0000-000003000000}">
      <text>
        <r>
          <rPr>
            <sz val="8"/>
            <color indexed="81"/>
            <rFont val="Tahoma"/>
            <family val="2"/>
          </rPr>
          <t xml:space="preserve">
This value will be filled in when you 'Select Voltage &amp; Phase' from the first dropdown box
</t>
        </r>
      </text>
    </comment>
    <comment ref="I14" authorId="0" shapeId="0" xr:uid="{00000000-0006-0000-0000-000004000000}">
      <text>
        <r>
          <rPr>
            <sz val="8"/>
            <color indexed="81"/>
            <rFont val="Tahoma"/>
            <family val="2"/>
          </rPr>
          <t>If you have inserted the Utility Fault Current amps inserting trans. impedence in this cell is not required. 
If transformer fault current is not known, insert transformer impedence here.</t>
        </r>
      </text>
    </comment>
    <comment ref="I18" authorId="0" shapeId="0" xr:uid="{00000000-0006-0000-0000-000005000000}">
      <text>
        <r>
          <rPr>
            <sz val="8"/>
            <color indexed="81"/>
            <rFont val="Tahoma"/>
            <family val="2"/>
          </rPr>
          <t xml:space="preserve">Enter the length of one phase conductor in the group </t>
        </r>
      </text>
    </comment>
    <comment ref="I20" authorId="0" shapeId="0" xr:uid="{00000000-0006-0000-0000-000006000000}">
      <text>
        <r>
          <rPr>
            <sz val="8"/>
            <color indexed="81"/>
            <rFont val="Tahoma"/>
            <family val="2"/>
          </rPr>
          <t>Enter the number of electrical conductors per phase between the transformer and the  equipment</t>
        </r>
      </text>
    </comment>
    <comment ref="I21" authorId="0" shapeId="0" xr:uid="{00000000-0006-0000-0000-000007000000}">
      <text>
        <r>
          <rPr>
            <sz val="8"/>
            <color indexed="81"/>
            <rFont val="Tahoma"/>
            <family val="2"/>
          </rPr>
          <t>Select a conductor and raceway from the top drop down box 
Then select phase conductor size from AWG drop down box.</t>
        </r>
      </text>
    </comment>
    <comment ref="I24" authorId="2" shapeId="0" xr:uid="{00000000-0006-0000-0000-000008000000}">
      <text>
        <r>
          <rPr>
            <sz val="8"/>
            <color indexed="81"/>
            <rFont val="Tahoma"/>
            <family val="2"/>
          </rPr>
          <t>Select neutral conductor size from AWG drop down box.</t>
        </r>
      </text>
    </comment>
    <comment ref="V34" authorId="2" shapeId="0" xr:uid="{00000000-0006-0000-0000-000009000000}">
      <text>
        <r>
          <rPr>
            <b/>
            <sz val="8"/>
            <color indexed="81"/>
            <rFont val="Tahoma"/>
            <family val="2"/>
          </rPr>
          <t>=choose(U34,0,208,208,480,480)</t>
        </r>
        <r>
          <rPr>
            <sz val="8"/>
            <color indexed="81"/>
            <rFont val="Tahoma"/>
            <family val="2"/>
          </rPr>
          <t xml:space="preserve">
   Link to cell I9 for select voltage</t>
        </r>
      </text>
    </comment>
    <comment ref="P35" authorId="1" shapeId="0" xr:uid="{00000000-0006-0000-0000-00000A000000}">
      <text>
        <r>
          <rPr>
            <sz val="8"/>
            <color indexed="81"/>
            <rFont val="Tahoma"/>
            <family val="2"/>
          </rPr>
          <t>Neutral , Choose formula ref point</t>
        </r>
      </text>
    </comment>
    <comment ref="V35" authorId="2" shapeId="0" xr:uid="{00000000-0006-0000-0000-00000B000000}">
      <text>
        <r>
          <rPr>
            <b/>
            <sz val="8"/>
            <color indexed="81"/>
            <rFont val="Tahoma"/>
            <family val="2"/>
          </rPr>
          <t>=choose(U34,0,240,208,208,480,480)</t>
        </r>
        <r>
          <rPr>
            <sz val="8"/>
            <color indexed="81"/>
            <rFont val="Tahoma"/>
            <family val="2"/>
          </rPr>
          <t xml:space="preserve">
   Link to cell I9 for select voltage</t>
        </r>
      </text>
    </comment>
    <comment ref="V36" authorId="2" shapeId="0" xr:uid="{00000000-0006-0000-0000-00000C000000}">
      <text>
        <r>
          <rPr>
            <b/>
            <sz val="8"/>
            <color indexed="81"/>
            <rFont val="Tahoma"/>
            <family val="2"/>
          </rPr>
          <t>=choose(U34,0,208,208,480,480)</t>
        </r>
        <r>
          <rPr>
            <sz val="8"/>
            <color indexed="81"/>
            <rFont val="Tahoma"/>
            <family val="2"/>
          </rPr>
          <t xml:space="preserve">
   Link to cell I9 for select voltage</t>
        </r>
      </text>
    </comment>
    <comment ref="V37" authorId="2" shapeId="0" xr:uid="{00000000-0006-0000-0000-00000D000000}">
      <text>
        <r>
          <rPr>
            <b/>
            <sz val="8"/>
            <color indexed="81"/>
            <rFont val="Tahoma"/>
            <family val="2"/>
          </rPr>
          <t>=CHOOSE(U34,0,I8*1000/I9,I8*1000/I9,I8*1000/I9*1.732,I8*1000/I9,I8*1000/I9*1.732)</t>
        </r>
        <r>
          <rPr>
            <sz val="8"/>
            <color indexed="81"/>
            <rFont val="Tahoma"/>
            <family val="2"/>
          </rPr>
          <t xml:space="preserve">
   Link to cell I9 for select voltage</t>
        </r>
      </text>
    </comment>
    <comment ref="V38" authorId="2" shapeId="0" xr:uid="{00000000-0006-0000-0000-00000E000000}">
      <text>
        <r>
          <rPr>
            <b/>
            <sz val="8"/>
            <color indexed="81"/>
            <rFont val="Tahoma"/>
            <family val="2"/>
          </rPr>
          <t>=choose(U34,0,120,120,120,277,277)</t>
        </r>
        <r>
          <rPr>
            <sz val="8"/>
            <color indexed="81"/>
            <rFont val="Tahoma"/>
            <family val="2"/>
          </rPr>
          <t xml:space="preserve">
   Link to nuetral voltage</t>
        </r>
      </text>
    </comment>
    <comment ref="V39" authorId="2" shapeId="0" xr:uid="{00000000-0006-0000-0000-00000F000000}">
      <text>
        <r>
          <rPr>
            <b/>
            <sz val="8"/>
            <color indexed="81"/>
            <rFont val="Tahoma"/>
            <family val="2"/>
          </rPr>
          <t>=choose(U34,0,240,208,208,480,480)</t>
        </r>
        <r>
          <rPr>
            <sz val="8"/>
            <color indexed="81"/>
            <rFont val="Tahoma"/>
            <family val="2"/>
          </rPr>
          <t xml:space="preserve">
   Link to line to line voltage</t>
        </r>
      </text>
    </comment>
    <comment ref="I40" authorId="2" shapeId="0" xr:uid="{00000000-0006-0000-0000-000010000000}">
      <text>
        <r>
          <rPr>
            <b/>
            <sz val="8"/>
            <color indexed="81"/>
            <rFont val="Tahoma"/>
            <family val="2"/>
          </rPr>
          <t>Data from above calculation</t>
        </r>
        <r>
          <rPr>
            <sz val="8"/>
            <color indexed="81"/>
            <rFont val="Tahoma"/>
            <family val="2"/>
          </rPr>
          <t xml:space="preserve">
</t>
        </r>
      </text>
    </comment>
    <comment ref="K40" authorId="2" shapeId="0" xr:uid="{00000000-0006-0000-0000-000011000000}">
      <text>
        <r>
          <rPr>
            <b/>
            <sz val="8"/>
            <color indexed="81"/>
            <rFont val="Tahoma"/>
            <family val="2"/>
          </rPr>
          <t>Data from above calculation</t>
        </r>
      </text>
    </comment>
    <comment ref="V41" authorId="2" shapeId="0" xr:uid="{00000000-0006-0000-0000-000012000000}">
      <text>
        <r>
          <rPr>
            <b/>
            <sz val="8"/>
            <color indexed="81"/>
            <rFont val="Tahoma"/>
            <family val="2"/>
          </rPr>
          <t>=choose(U34,0,240,208,208,480,480)</t>
        </r>
        <r>
          <rPr>
            <sz val="8"/>
            <color indexed="81"/>
            <rFont val="Tahoma"/>
            <family val="2"/>
          </rPr>
          <t xml:space="preserve">
   Link to cell I9 for select voltage</t>
        </r>
      </text>
    </comment>
    <comment ref="I42" authorId="0" shapeId="0" xr:uid="{00000000-0006-0000-0000-000013000000}">
      <text>
        <r>
          <rPr>
            <sz val="8"/>
            <color indexed="81"/>
            <rFont val="Tahoma"/>
            <family val="2"/>
          </rPr>
          <t>To select a conductor check the appropriate box to the right of the largest phase conductor</t>
        </r>
      </text>
    </comment>
    <comment ref="V44" authorId="2" shapeId="0" xr:uid="{00000000-0006-0000-0000-000014000000}">
      <text>
        <r>
          <rPr>
            <b/>
            <sz val="8"/>
            <color indexed="81"/>
            <rFont val="Tahoma"/>
            <family val="2"/>
          </rPr>
          <t>=choose(U34,0,240,208,208,480,480)</t>
        </r>
        <r>
          <rPr>
            <sz val="8"/>
            <color indexed="81"/>
            <rFont val="Tahoma"/>
            <family val="2"/>
          </rPr>
          <t xml:space="preserve">
   Link to cell I9 for select voltage</t>
        </r>
      </text>
    </comment>
    <comment ref="P49" authorId="2" shapeId="0" xr:uid="{00000000-0006-0000-0000-000015000000}">
      <text>
        <r>
          <rPr>
            <b/>
            <sz val="8"/>
            <color indexed="81"/>
            <rFont val="Tahoma"/>
            <family val="2"/>
          </rPr>
          <t>Link cell to conductor size</t>
        </r>
        <r>
          <rPr>
            <sz val="8"/>
            <color indexed="81"/>
            <rFont val="Tahoma"/>
            <family val="2"/>
          </rPr>
          <t xml:space="preserve">
</t>
        </r>
      </text>
    </comment>
    <comment ref="V49" authorId="2" shapeId="0" xr:uid="{00000000-0006-0000-0000-000016000000}">
      <text>
        <r>
          <rPr>
            <b/>
            <sz val="8"/>
            <color indexed="81"/>
            <rFont val="Tahoma"/>
            <family val="2"/>
          </rPr>
          <t>Link cell to conductor size</t>
        </r>
        <r>
          <rPr>
            <sz val="8"/>
            <color indexed="81"/>
            <rFont val="Tahoma"/>
            <family val="2"/>
          </rPr>
          <t xml:space="preserve">
</t>
        </r>
      </text>
    </comment>
    <comment ref="I63" authorId="2" shapeId="0" xr:uid="{00000000-0006-0000-0000-000017000000}">
      <text>
        <r>
          <rPr>
            <b/>
            <sz val="8"/>
            <color indexed="81"/>
            <rFont val="Tahoma"/>
            <family val="2"/>
          </rPr>
          <t>Data from above calculation</t>
        </r>
        <r>
          <rPr>
            <sz val="8"/>
            <color indexed="81"/>
            <rFont val="Tahoma"/>
            <family val="2"/>
          </rPr>
          <t xml:space="preserve">
</t>
        </r>
      </text>
    </comment>
    <comment ref="K63" authorId="2" shapeId="0" xr:uid="{00000000-0006-0000-0000-000018000000}">
      <text>
        <r>
          <rPr>
            <b/>
            <sz val="8"/>
            <color indexed="81"/>
            <rFont val="Tahoma"/>
            <family val="2"/>
          </rPr>
          <t>Data from above calculation</t>
        </r>
      </text>
    </comment>
    <comment ref="I65" authorId="0" shapeId="0" xr:uid="{00000000-0006-0000-0000-000019000000}">
      <text>
        <r>
          <rPr>
            <sz val="8"/>
            <color indexed="81"/>
            <rFont val="Tahoma"/>
            <family val="2"/>
          </rPr>
          <t>To select a conductor check the appropriate box to the right of the largest phase conductor</t>
        </r>
      </text>
    </comment>
    <comment ref="V67" authorId="2" shapeId="0" xr:uid="{00000000-0006-0000-0000-00001A000000}">
      <text>
        <r>
          <rPr>
            <b/>
            <sz val="8"/>
            <color indexed="81"/>
            <rFont val="Tahoma"/>
            <family val="2"/>
          </rPr>
          <t>=choose(U34,0,240,208,208,480,480)</t>
        </r>
        <r>
          <rPr>
            <sz val="8"/>
            <color indexed="81"/>
            <rFont val="Tahoma"/>
            <family val="2"/>
          </rPr>
          <t xml:space="preserve">
   Link to cell I9 for select voltage</t>
        </r>
      </text>
    </comment>
    <comment ref="P72" authorId="2" shapeId="0" xr:uid="{00000000-0006-0000-0000-00001B000000}">
      <text>
        <r>
          <rPr>
            <b/>
            <sz val="8"/>
            <color indexed="81"/>
            <rFont val="Tahoma"/>
            <family val="2"/>
          </rPr>
          <t>Link cell to conductor size</t>
        </r>
        <r>
          <rPr>
            <sz val="8"/>
            <color indexed="81"/>
            <rFont val="Tahoma"/>
            <family val="2"/>
          </rPr>
          <t xml:space="preserve">
</t>
        </r>
      </text>
    </comment>
    <comment ref="V72" authorId="2" shapeId="0" xr:uid="{00000000-0006-0000-0000-00001C000000}">
      <text>
        <r>
          <rPr>
            <b/>
            <sz val="8"/>
            <color indexed="81"/>
            <rFont val="Tahoma"/>
            <family val="2"/>
          </rPr>
          <t>Link cell to conductor size</t>
        </r>
        <r>
          <rPr>
            <sz val="8"/>
            <color indexed="81"/>
            <rFont val="Tahoma"/>
            <family val="2"/>
          </rPr>
          <t xml:space="preserve">
</t>
        </r>
      </text>
    </comment>
    <comment ref="W79" authorId="3" shapeId="0" xr:uid="{00000000-0006-0000-0000-00001D000000}">
      <text>
        <r>
          <rPr>
            <b/>
            <sz val="8"/>
            <color indexed="81"/>
            <rFont val="Tahoma"/>
            <family val="2"/>
          </rPr>
          <t>when cell = -1 then feeder is 3ph</t>
        </r>
        <r>
          <rPr>
            <sz val="8"/>
            <color indexed="81"/>
            <rFont val="Tahoma"/>
            <family val="2"/>
          </rPr>
          <t xml:space="preserve">
</t>
        </r>
      </text>
    </comment>
    <comment ref="X79" authorId="3" shapeId="0" xr:uid="{00000000-0006-0000-0000-00001E000000}">
      <text>
        <r>
          <rPr>
            <b/>
            <sz val="8"/>
            <color indexed="81"/>
            <rFont val="Tahoma"/>
            <family val="2"/>
          </rPr>
          <t>if cell = 1 then branch is 1ph</t>
        </r>
        <r>
          <rPr>
            <sz val="8"/>
            <color indexed="81"/>
            <rFont val="Tahoma"/>
            <family val="2"/>
          </rPr>
          <t xml:space="preserve">
</t>
        </r>
      </text>
    </comment>
    <comment ref="W80" authorId="3" shapeId="0" xr:uid="{00000000-0006-0000-0000-00001F000000}">
      <text>
        <r>
          <rPr>
            <b/>
            <sz val="8"/>
            <color indexed="81"/>
            <rFont val="Tahoma"/>
            <family val="2"/>
          </rPr>
          <t>when cell = -1 then feeder is 3ph</t>
        </r>
        <r>
          <rPr>
            <sz val="8"/>
            <color indexed="81"/>
            <rFont val="Tahoma"/>
            <family val="2"/>
          </rPr>
          <t xml:space="preserve">
</t>
        </r>
      </text>
    </comment>
    <comment ref="X80" authorId="3" shapeId="0" xr:uid="{00000000-0006-0000-0000-000020000000}">
      <text>
        <r>
          <rPr>
            <b/>
            <sz val="8"/>
            <color indexed="81"/>
            <rFont val="Tahoma"/>
            <family val="2"/>
          </rPr>
          <t>if cell = 1 then branch is 1ph</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John Sokolik</author>
    <author>A satisfied Microsoft Office user</author>
    <author>User</author>
    <author>John</author>
    <author>John &amp; Carole Sokolik</author>
    <author>John DeLong</author>
    <author>John  Sokolik</author>
  </authors>
  <commentList>
    <comment ref="DN7" authorId="0" shapeId="0" xr:uid="{00000000-0006-0000-0100-000001000000}">
      <text>
        <r>
          <rPr>
            <b/>
            <sz val="8"/>
            <color indexed="81"/>
            <rFont val="Tahoma"/>
            <family val="2"/>
          </rPr>
          <t>Any cell with a red corner has a comment to help guide you through this calculation.</t>
        </r>
        <r>
          <rPr>
            <sz val="8"/>
            <color indexed="81"/>
            <rFont val="Tahoma"/>
            <family val="2"/>
          </rPr>
          <t xml:space="preserve">
</t>
        </r>
        <r>
          <rPr>
            <b/>
            <sz val="8"/>
            <color indexed="81"/>
            <rFont val="Tahoma"/>
            <family val="2"/>
          </rPr>
          <t>Just place your cursor over the yellow cell and the comment box will open.
Not all yellow cells need to have data inserted, they are the first three input cells identified as step 1a or 1b in the example sheet.</t>
        </r>
      </text>
    </comment>
    <comment ref="F8" authorId="1" shapeId="0" xr:uid="{00000000-0006-0000-0100-000002000000}">
      <text>
        <r>
          <rPr>
            <sz val="8"/>
            <color indexed="81"/>
            <rFont val="Tahoma"/>
            <family val="2"/>
          </rPr>
          <t>When the fault current is provided by the governing utility insert the value here. 
The KVA, power factor (PF) and  impedence (Z) of the transformer is not required to continue.
Go to  L=   ,and  insert footage of conductor length.
Use 'Edit', 'Clear', Comments' to clear any input cell.</t>
        </r>
      </text>
    </comment>
    <comment ref="I8" authorId="1" shapeId="0" xr:uid="{00000000-0006-0000-0100-000003000000}">
      <text>
        <r>
          <rPr>
            <sz val="8"/>
            <color indexed="81"/>
            <rFont val="Tahoma"/>
            <family val="2"/>
          </rPr>
          <t>If you have inserted the Utility Fault Current amps, inserting the kVA in this cell is not required.
If available fault current is not known, insert transformer kVA rating here.</t>
        </r>
      </text>
    </comment>
    <comment ref="I13" authorId="2" shapeId="0" xr:uid="{00000000-0006-0000-0100-000004000000}">
      <text>
        <r>
          <rPr>
            <sz val="8"/>
            <color indexed="81"/>
            <rFont val="Tahoma"/>
            <family val="2"/>
          </rPr>
          <t xml:space="preserve">Inserting a (PF) power factor is only required when using method 1b, see example sheet tab in lower left of the sheet.
The (PF) default for this cell should be 100% unless the power factor is known.
</t>
        </r>
      </text>
    </comment>
    <comment ref="I14" authorId="1" shapeId="0" xr:uid="{00000000-0006-0000-0100-000005000000}">
      <text>
        <r>
          <rPr>
            <sz val="8"/>
            <color indexed="81"/>
            <rFont val="Tahoma"/>
            <family val="2"/>
          </rPr>
          <t>If you have inserted the Utility Fault Current amps inserting trans. impedence in this cell is not required. 
If transformer fault current is not known, insert transformer impedence here.</t>
        </r>
      </text>
    </comment>
    <comment ref="I18" authorId="1" shapeId="0" xr:uid="{00000000-0006-0000-0100-000006000000}">
      <text>
        <r>
          <rPr>
            <sz val="8"/>
            <color indexed="81"/>
            <rFont val="Tahoma"/>
            <family val="2"/>
          </rPr>
          <t xml:space="preserve">Enter the length of one phase conductor in the group </t>
        </r>
      </text>
    </comment>
    <comment ref="D19" authorId="3" shapeId="0" xr:uid="{00000000-0006-0000-0100-000007000000}">
      <text>
        <r>
          <rPr>
            <b/>
            <sz val="9"/>
            <color indexed="81"/>
            <rFont val="Tahoma"/>
            <family val="2"/>
          </rPr>
          <t>The 1.5 multiplier applies to neutral  center tapped transformers only</t>
        </r>
        <r>
          <rPr>
            <sz val="9"/>
            <color indexed="81"/>
            <rFont val="Tahoma"/>
            <family val="2"/>
          </rPr>
          <t xml:space="preserve">
</t>
        </r>
      </text>
    </comment>
    <comment ref="I20" authorId="1" shapeId="0" xr:uid="{00000000-0006-0000-0100-000008000000}">
      <text>
        <r>
          <rPr>
            <sz val="8"/>
            <color indexed="81"/>
            <rFont val="Tahoma"/>
            <family val="2"/>
          </rPr>
          <t>Enter the number of electrical conductors per phase between the transformer and the service equipment</t>
        </r>
      </text>
    </comment>
    <comment ref="I21" authorId="1" shapeId="0" xr:uid="{00000000-0006-0000-0100-000009000000}">
      <text>
        <r>
          <rPr>
            <sz val="8"/>
            <color indexed="81"/>
            <rFont val="Tahoma"/>
            <family val="2"/>
          </rPr>
          <t>Select a Phase Cconductor and raceway from the top drop down box 
Then select phase conductor size from AWG drop down box.</t>
        </r>
      </text>
    </comment>
    <comment ref="I24" authorId="4" shapeId="0" xr:uid="{00000000-0006-0000-0100-00000A000000}">
      <text>
        <r>
          <rPr>
            <sz val="8"/>
            <color indexed="81"/>
            <rFont val="Tahoma"/>
            <family val="2"/>
          </rPr>
          <t>Select neutral conductor size from AWG drop down box.</t>
        </r>
      </text>
    </comment>
    <comment ref="V34" authorId="4" shapeId="0" xr:uid="{00000000-0006-0000-0100-00000B000000}">
      <text>
        <r>
          <rPr>
            <b/>
            <sz val="8"/>
            <color indexed="81"/>
            <rFont val="Tahoma"/>
            <family val="2"/>
          </rPr>
          <t>=choose(U34,0,208,208,480,480)</t>
        </r>
        <r>
          <rPr>
            <sz val="8"/>
            <color indexed="81"/>
            <rFont val="Tahoma"/>
            <family val="2"/>
          </rPr>
          <t xml:space="preserve">
   Link to cell I9 for select voltage</t>
        </r>
      </text>
    </comment>
    <comment ref="P35" authorId="0" shapeId="0" xr:uid="{00000000-0006-0000-0100-00000C000000}">
      <text>
        <r>
          <rPr>
            <sz val="8"/>
            <color indexed="81"/>
            <rFont val="Tahoma"/>
            <family val="2"/>
          </rPr>
          <t>Neutral , Choose formula ref point</t>
        </r>
      </text>
    </comment>
    <comment ref="V35" authorId="4" shapeId="0" xr:uid="{00000000-0006-0000-0100-00000D000000}">
      <text>
        <r>
          <rPr>
            <b/>
            <sz val="8"/>
            <color indexed="81"/>
            <rFont val="Tahoma"/>
            <family val="2"/>
          </rPr>
          <t>=choose(U34,0,240,208,208,480,480)</t>
        </r>
        <r>
          <rPr>
            <sz val="8"/>
            <color indexed="81"/>
            <rFont val="Tahoma"/>
            <family val="2"/>
          </rPr>
          <t xml:space="preserve">
   Link to cell I9 for select voltage</t>
        </r>
      </text>
    </comment>
    <comment ref="V36" authorId="4" shapeId="0" xr:uid="{00000000-0006-0000-0100-00000E000000}">
      <text>
        <r>
          <rPr>
            <b/>
            <sz val="8"/>
            <color indexed="81"/>
            <rFont val="Tahoma"/>
            <family val="2"/>
          </rPr>
          <t>=choose(U34,0,208,208,480,480)</t>
        </r>
        <r>
          <rPr>
            <sz val="8"/>
            <color indexed="81"/>
            <rFont val="Tahoma"/>
            <family val="2"/>
          </rPr>
          <t xml:space="preserve">
   Link to cell I9 for select voltage</t>
        </r>
      </text>
    </comment>
    <comment ref="V37" authorId="4" shapeId="0" xr:uid="{00000000-0006-0000-0100-00000F000000}">
      <text>
        <r>
          <rPr>
            <b/>
            <sz val="8"/>
            <color indexed="81"/>
            <rFont val="Tahoma"/>
            <family val="2"/>
          </rPr>
          <t>=CHOOSE(U34,0,I8*1000/I9,I8*1000/I9,I8*1000/I9*1.732,I8*1000/I9,I8*1000/I9*1.732)</t>
        </r>
        <r>
          <rPr>
            <sz val="8"/>
            <color indexed="81"/>
            <rFont val="Tahoma"/>
            <family val="2"/>
          </rPr>
          <t xml:space="preserve">
   Link to cell I9 for select voltage</t>
        </r>
      </text>
    </comment>
    <comment ref="I39" authorId="5" shapeId="0" xr:uid="{00000000-0006-0000-0100-000010000000}">
      <text>
        <r>
          <rPr>
            <b/>
            <sz val="8"/>
            <color indexed="81"/>
            <rFont val="Tahoma"/>
            <family val="2"/>
          </rPr>
          <t xml:space="preserve">Enter the length of one phase conductor in the group </t>
        </r>
        <r>
          <rPr>
            <sz val="8"/>
            <color indexed="81"/>
            <rFont val="Tahoma"/>
            <family val="2"/>
          </rPr>
          <t xml:space="preserve">
</t>
        </r>
      </text>
    </comment>
    <comment ref="I40" authorId="4" shapeId="0" xr:uid="{00000000-0006-0000-0100-000011000000}">
      <text>
        <r>
          <rPr>
            <b/>
            <sz val="8"/>
            <color indexed="81"/>
            <rFont val="Tahoma"/>
            <family val="2"/>
          </rPr>
          <t>Data from above calculation</t>
        </r>
        <r>
          <rPr>
            <sz val="8"/>
            <color indexed="81"/>
            <rFont val="Tahoma"/>
            <family val="2"/>
          </rPr>
          <t xml:space="preserve">
</t>
        </r>
      </text>
    </comment>
    <comment ref="K40" authorId="4" shapeId="0" xr:uid="{00000000-0006-0000-0100-000012000000}">
      <text>
        <r>
          <rPr>
            <b/>
            <sz val="8"/>
            <color indexed="81"/>
            <rFont val="Tahoma"/>
            <family val="2"/>
          </rPr>
          <t>Data from above calculation</t>
        </r>
      </text>
    </comment>
    <comment ref="V40" authorId="4" shapeId="0" xr:uid="{00000000-0006-0000-0100-000013000000}">
      <text>
        <r>
          <rPr>
            <b/>
            <sz val="8"/>
            <color indexed="81"/>
            <rFont val="Tahoma"/>
            <family val="2"/>
          </rPr>
          <t>=choose(U34,0,120,120,120,277,277)</t>
        </r>
        <r>
          <rPr>
            <sz val="8"/>
            <color indexed="81"/>
            <rFont val="Tahoma"/>
            <family val="2"/>
          </rPr>
          <t xml:space="preserve">
   Link to nuetral voltage</t>
        </r>
      </text>
    </comment>
    <comment ref="I41" authorId="5" shapeId="0" xr:uid="{00000000-0006-0000-0100-000014000000}">
      <text>
        <r>
          <rPr>
            <sz val="8"/>
            <color indexed="81"/>
            <rFont val="Tahoma"/>
            <family val="2"/>
          </rPr>
          <t>Enter the number of electrical conductors per phase between the service equipment and this panel or disconnect.</t>
        </r>
      </text>
    </comment>
    <comment ref="V41" authorId="4" shapeId="0" xr:uid="{00000000-0006-0000-0100-000015000000}">
      <text>
        <r>
          <rPr>
            <b/>
            <sz val="8"/>
            <color indexed="81"/>
            <rFont val="Tahoma"/>
            <family val="2"/>
          </rPr>
          <t>=choose(U34,0,240,208,208,480,480)</t>
        </r>
        <r>
          <rPr>
            <sz val="8"/>
            <color indexed="81"/>
            <rFont val="Tahoma"/>
            <family val="2"/>
          </rPr>
          <t xml:space="preserve">
   Link to line to line voltage</t>
        </r>
      </text>
    </comment>
    <comment ref="AC41" authorId="5" shapeId="0" xr:uid="{00000000-0006-0000-0100-000016000000}">
      <text>
        <r>
          <rPr>
            <b/>
            <sz val="8"/>
            <color indexed="81"/>
            <rFont val="Tahoma"/>
            <family val="2"/>
          </rPr>
          <t>John DeLong:</t>
        </r>
        <r>
          <rPr>
            <sz val="8"/>
            <color indexed="81"/>
            <rFont val="Tahoma"/>
            <family val="2"/>
          </rPr>
          <t xml:space="preserve">
1 SINGLE PHASE
3 THREE PHASE</t>
        </r>
      </text>
    </comment>
    <comment ref="I42" authorId="1" shapeId="0" xr:uid="{00000000-0006-0000-0100-000017000000}">
      <text>
        <r>
          <rPr>
            <sz val="8"/>
            <color indexed="81"/>
            <rFont val="Tahoma"/>
            <family val="2"/>
          </rPr>
          <t>To select a phase conductor constant select the size conductor from the drop-down box to the right.</t>
        </r>
      </text>
    </comment>
    <comment ref="AD44" authorId="5" shapeId="0" xr:uid="{00000000-0006-0000-0100-000018000000}">
      <text>
        <r>
          <rPr>
            <b/>
            <sz val="8"/>
            <color indexed="81"/>
            <rFont val="Tahoma"/>
            <family val="2"/>
          </rPr>
          <t>John DeLong:</t>
        </r>
        <r>
          <rPr>
            <sz val="8"/>
            <color indexed="81"/>
            <rFont val="Tahoma"/>
            <family val="2"/>
          </rPr>
          <t xml:space="preserve">
LINK BETWEEN 1 OR 3 PH SERVICE ENTRANCE DROP DOWN AND 1 OR 3 PH FEEDER DROP DOWN BOXES</t>
        </r>
      </text>
    </comment>
    <comment ref="I45" authorId="5" shapeId="0" xr:uid="{00000000-0006-0000-0100-000019000000}">
      <text>
        <r>
          <rPr>
            <sz val="8"/>
            <color indexed="81"/>
            <rFont val="Tahoma"/>
            <family val="2"/>
          </rPr>
          <t>To select a neutral conductor constant select the size conductor from the drop-down box to the right.</t>
        </r>
        <r>
          <rPr>
            <sz val="8"/>
            <color indexed="81"/>
            <rFont val="Tahoma"/>
            <family val="2"/>
          </rPr>
          <t xml:space="preserve">
</t>
        </r>
      </text>
    </comment>
    <comment ref="V47" authorId="4" shapeId="0" xr:uid="{00000000-0006-0000-0100-00001A000000}">
      <text>
        <r>
          <rPr>
            <b/>
            <sz val="8"/>
            <color indexed="81"/>
            <rFont val="Tahoma"/>
            <family val="2"/>
          </rPr>
          <t>=choose(U34,0,240,208,208,480,480)</t>
        </r>
        <r>
          <rPr>
            <sz val="8"/>
            <color indexed="81"/>
            <rFont val="Tahoma"/>
            <family val="2"/>
          </rPr>
          <t xml:space="preserve">
   Link to cell I9 for select voltage</t>
        </r>
      </text>
    </comment>
    <comment ref="AF49" authorId="4" shapeId="0" xr:uid="{00000000-0006-0000-0100-00001B000000}">
      <text>
        <r>
          <rPr>
            <b/>
            <sz val="8"/>
            <color indexed="81"/>
            <rFont val="Tahoma"/>
            <family val="2"/>
          </rPr>
          <t>Link cell to conductor size</t>
        </r>
        <r>
          <rPr>
            <sz val="8"/>
            <color indexed="81"/>
            <rFont val="Tahoma"/>
            <family val="2"/>
          </rPr>
          <t xml:space="preserve">
</t>
        </r>
      </text>
    </comment>
    <comment ref="AL49" authorId="4" shapeId="0" xr:uid="{00000000-0006-0000-0100-00001C000000}">
      <text>
        <r>
          <rPr>
            <b/>
            <sz val="8"/>
            <color indexed="81"/>
            <rFont val="Tahoma"/>
            <family val="2"/>
          </rPr>
          <t>Link cell to conductor size</t>
        </r>
        <r>
          <rPr>
            <sz val="8"/>
            <color indexed="81"/>
            <rFont val="Tahoma"/>
            <family val="2"/>
          </rPr>
          <t xml:space="preserve">
</t>
        </r>
      </text>
    </comment>
    <comment ref="V50" authorId="4" shapeId="0" xr:uid="{00000000-0006-0000-0100-00001D000000}">
      <text>
        <r>
          <rPr>
            <b/>
            <sz val="8"/>
            <color indexed="81"/>
            <rFont val="Tahoma"/>
            <family val="2"/>
          </rPr>
          <t>=choose(U34,0,240,208,208,480,480)</t>
        </r>
        <r>
          <rPr>
            <sz val="8"/>
            <color indexed="81"/>
            <rFont val="Tahoma"/>
            <family val="2"/>
          </rPr>
          <t xml:space="preserve">
   Link to cell I9 for select voltage</t>
        </r>
      </text>
    </comment>
    <comment ref="V55" authorId="4" shapeId="0" xr:uid="{BBC0F2CB-195D-41F1-BA1A-808C1B05898C}">
      <text>
        <r>
          <rPr>
            <b/>
            <sz val="8"/>
            <color indexed="81"/>
            <rFont val="Tahoma"/>
            <family val="2"/>
          </rPr>
          <t>=choose(U34,0,240,208,208,480,480)</t>
        </r>
        <r>
          <rPr>
            <sz val="8"/>
            <color indexed="81"/>
            <rFont val="Tahoma"/>
            <family val="2"/>
          </rPr>
          <t xml:space="preserve">
   Link to cell I9 for select voltage</t>
        </r>
      </text>
    </comment>
    <comment ref="AL59" authorId="4" shapeId="0" xr:uid="{E100753E-1548-4FA8-97D1-18C9FD2E4906}">
      <text>
        <r>
          <rPr>
            <b/>
            <sz val="8"/>
            <color indexed="81"/>
            <rFont val="Tahoma"/>
            <family val="2"/>
          </rPr>
          <t>=choose(U34,0,240,208,208,480,480)</t>
        </r>
        <r>
          <rPr>
            <sz val="8"/>
            <color indexed="81"/>
            <rFont val="Tahoma"/>
            <family val="2"/>
          </rPr>
          <t xml:space="preserve">
   Link to cell I9 for select voltage</t>
        </r>
      </text>
    </comment>
    <comment ref="I62" authorId="5" shapeId="0" xr:uid="{00000000-0006-0000-0100-00001E000000}">
      <text>
        <r>
          <rPr>
            <sz val="8"/>
            <color indexed="81"/>
            <rFont val="Tahoma"/>
            <family val="2"/>
          </rPr>
          <t xml:space="preserve">Enter the length of one phase conductor in the group </t>
        </r>
      </text>
    </comment>
    <comment ref="I63" authorId="4" shapeId="0" xr:uid="{00000000-0006-0000-0100-00001F000000}">
      <text>
        <r>
          <rPr>
            <b/>
            <sz val="8"/>
            <color indexed="81"/>
            <rFont val="Tahoma"/>
            <family val="2"/>
          </rPr>
          <t>Data from above calculation</t>
        </r>
        <r>
          <rPr>
            <sz val="8"/>
            <color indexed="81"/>
            <rFont val="Tahoma"/>
            <family val="2"/>
          </rPr>
          <t xml:space="preserve">
</t>
        </r>
      </text>
    </comment>
    <comment ref="K63" authorId="4" shapeId="0" xr:uid="{00000000-0006-0000-0100-000020000000}">
      <text>
        <r>
          <rPr>
            <b/>
            <sz val="8"/>
            <color indexed="81"/>
            <rFont val="Tahoma"/>
            <family val="2"/>
          </rPr>
          <t>Data from above calculation</t>
        </r>
      </text>
    </comment>
    <comment ref="I65" authorId="1" shapeId="0" xr:uid="{00000000-0006-0000-0100-000021000000}">
      <text>
        <r>
          <rPr>
            <sz val="8"/>
            <color indexed="81"/>
            <rFont val="Tahoma"/>
            <family val="2"/>
          </rPr>
          <t>To select a phase conductor constant select the size conductor from the drop-down box to the right.</t>
        </r>
      </text>
    </comment>
    <comment ref="V67" authorId="4" shapeId="0" xr:uid="{00000000-0006-0000-0100-000022000000}">
      <text>
        <r>
          <rPr>
            <b/>
            <sz val="8"/>
            <color indexed="81"/>
            <rFont val="Tahoma"/>
            <family val="2"/>
          </rPr>
          <t>=choose(U34,0,240,208,208,480,480)</t>
        </r>
        <r>
          <rPr>
            <sz val="8"/>
            <color indexed="81"/>
            <rFont val="Tahoma"/>
            <family val="2"/>
          </rPr>
          <t xml:space="preserve">
   Link to cell I9 for select voltage</t>
        </r>
      </text>
    </comment>
    <comment ref="I68" authorId="5" shapeId="0" xr:uid="{00000000-0006-0000-0100-000023000000}">
      <text>
        <r>
          <rPr>
            <sz val="8"/>
            <color indexed="81"/>
            <rFont val="Tahoma"/>
            <family val="2"/>
          </rPr>
          <t>To select a neutral conductor constant select the size conductor from the drop-down box to the right.</t>
        </r>
      </text>
    </comment>
    <comment ref="P72" authorId="4" shapeId="0" xr:uid="{00000000-0006-0000-0100-000024000000}">
      <text>
        <r>
          <rPr>
            <b/>
            <sz val="8"/>
            <color indexed="81"/>
            <rFont val="Tahoma"/>
            <family val="2"/>
          </rPr>
          <t>Link cell to conductor size</t>
        </r>
        <r>
          <rPr>
            <sz val="8"/>
            <color indexed="81"/>
            <rFont val="Tahoma"/>
            <family val="2"/>
          </rPr>
          <t xml:space="preserve">
</t>
        </r>
      </text>
    </comment>
    <comment ref="V72" authorId="4" shapeId="0" xr:uid="{00000000-0006-0000-0100-000025000000}">
      <text>
        <r>
          <rPr>
            <b/>
            <sz val="8"/>
            <color indexed="81"/>
            <rFont val="Tahoma"/>
            <family val="2"/>
          </rPr>
          <t>Link cell to conductor size</t>
        </r>
        <r>
          <rPr>
            <sz val="8"/>
            <color indexed="81"/>
            <rFont val="Tahoma"/>
            <family val="2"/>
          </rPr>
          <t xml:space="preserve">
</t>
        </r>
      </text>
    </comment>
    <comment ref="AL72" authorId="4" shapeId="0" xr:uid="{1B5351D1-3A52-45AC-BE81-D2D47EDA07B7}">
      <text>
        <r>
          <rPr>
            <b/>
            <sz val="8"/>
            <color indexed="81"/>
            <rFont val="Tahoma"/>
            <family val="2"/>
          </rPr>
          <t>=choose(U34,0,240,208,208,480,480)</t>
        </r>
        <r>
          <rPr>
            <sz val="8"/>
            <color indexed="81"/>
            <rFont val="Tahoma"/>
            <family val="2"/>
          </rPr>
          <t xml:space="preserve">
   Link to cell I9 for select voltage</t>
        </r>
      </text>
    </comment>
    <comment ref="W79" authorId="6" shapeId="0" xr:uid="{00000000-0006-0000-0100-000026000000}">
      <text>
        <r>
          <rPr>
            <b/>
            <sz val="8"/>
            <color indexed="81"/>
            <rFont val="Tahoma"/>
            <family val="2"/>
          </rPr>
          <t>when cell = -1 then feeder is 3ph</t>
        </r>
        <r>
          <rPr>
            <sz val="8"/>
            <color indexed="81"/>
            <rFont val="Tahoma"/>
            <family val="2"/>
          </rPr>
          <t xml:space="preserve">
</t>
        </r>
      </text>
    </comment>
    <comment ref="X79" authorId="6" shapeId="0" xr:uid="{00000000-0006-0000-0100-000027000000}">
      <text>
        <r>
          <rPr>
            <b/>
            <sz val="8"/>
            <color indexed="81"/>
            <rFont val="Tahoma"/>
            <family val="2"/>
          </rPr>
          <t>if cell = 1 then branch is 1ph</t>
        </r>
        <r>
          <rPr>
            <sz val="8"/>
            <color indexed="81"/>
            <rFont val="Tahoma"/>
            <family val="2"/>
          </rPr>
          <t xml:space="preserve">
</t>
        </r>
      </text>
    </comment>
    <comment ref="W80" authorId="6" shapeId="0" xr:uid="{00000000-0006-0000-0100-000028000000}">
      <text>
        <r>
          <rPr>
            <b/>
            <sz val="8"/>
            <color indexed="81"/>
            <rFont val="Tahoma"/>
            <family val="2"/>
          </rPr>
          <t>when cell = -1 then feeder is 3ph</t>
        </r>
        <r>
          <rPr>
            <sz val="8"/>
            <color indexed="81"/>
            <rFont val="Tahoma"/>
            <family val="2"/>
          </rPr>
          <t xml:space="preserve">
</t>
        </r>
      </text>
    </comment>
    <comment ref="X80" authorId="6" shapeId="0" xr:uid="{00000000-0006-0000-0100-000029000000}">
      <text>
        <r>
          <rPr>
            <b/>
            <sz val="8"/>
            <color indexed="81"/>
            <rFont val="Tahoma"/>
            <family val="2"/>
          </rPr>
          <t>if cell = 1 then branch is 1ph</t>
        </r>
        <r>
          <rPr>
            <sz val="8"/>
            <color indexed="81"/>
            <rFont val="Tahoma"/>
            <family val="2"/>
          </rPr>
          <t xml:space="preserve">
</t>
        </r>
      </text>
    </comment>
  </commentList>
</comments>
</file>

<file path=xl/sharedStrings.xml><?xml version="1.0" encoding="utf-8"?>
<sst xmlns="http://schemas.openxmlformats.org/spreadsheetml/2006/main" count="715" uniqueCount="218">
  <si>
    <t>Company Name</t>
  </si>
  <si>
    <t>Available Fault Current Calculation</t>
  </si>
  <si>
    <t xml:space="preserve"> </t>
  </si>
  <si>
    <t>by:John Sokolik</t>
  </si>
  <si>
    <t>Ver. 4.00</t>
  </si>
  <si>
    <t xml:space="preserve">  Three Single conductors </t>
  </si>
  <si>
    <t>Select Conductor &amp; Raceway</t>
  </si>
  <si>
    <t>Utility Fault Current</t>
  </si>
  <si>
    <t>amperes</t>
  </si>
  <si>
    <t xml:space="preserve">    kVA   =</t>
  </si>
  <si>
    <t xml:space="preserve">         in PVC raceway</t>
  </si>
  <si>
    <t xml:space="preserve">         in Metal raceway</t>
  </si>
  <si>
    <t>Copper in Nonmetallic Raceway</t>
  </si>
  <si>
    <t xml:space="preserve">      E     =</t>
  </si>
  <si>
    <t>AWG</t>
  </si>
  <si>
    <t>Copper</t>
  </si>
  <si>
    <t>Alum.</t>
  </si>
  <si>
    <t>Aluminum in Nonmetallic Raceway</t>
  </si>
  <si>
    <r>
      <t xml:space="preserve">I = </t>
    </r>
    <r>
      <rPr>
        <b/>
        <u/>
        <sz val="11"/>
        <rFont val="Arial"/>
        <family val="2"/>
      </rPr>
      <t>kVA x 1000</t>
    </r>
    <r>
      <rPr>
        <b/>
        <sz val="11"/>
        <rFont val="Arial"/>
        <family val="2"/>
      </rPr>
      <t xml:space="preserve"> = trans. FLA</t>
    </r>
  </si>
  <si>
    <t xml:space="preserve">         trans. FLA     =</t>
  </si>
  <si>
    <t>Copper in Metal Raceway</t>
  </si>
  <si>
    <t>Aluminum in Metal Raceway</t>
  </si>
  <si>
    <t xml:space="preserve">  =</t>
  </si>
  <si>
    <t xml:space="preserve">             transformer  Z </t>
  </si>
  <si>
    <t xml:space="preserve"> %</t>
  </si>
  <si>
    <t>6</t>
  </si>
  <si>
    <r>
      <t>I</t>
    </r>
    <r>
      <rPr>
        <sz val="8"/>
        <rFont val="Footlight MT Light"/>
        <family val="1"/>
      </rPr>
      <t xml:space="preserve">sca </t>
    </r>
    <r>
      <rPr>
        <sz val="8"/>
        <rFont val="Arial"/>
        <family val="2"/>
      </rPr>
      <t xml:space="preserve">= </t>
    </r>
    <r>
      <rPr>
        <sz val="8"/>
        <rFont val="Arial"/>
        <family val="2"/>
      </rPr>
      <t>ampere short-circuit current RMS symmetrical.</t>
    </r>
  </si>
  <si>
    <t xml:space="preserve"> amperes</t>
  </si>
  <si>
    <t>Point to Point Method</t>
  </si>
  <si>
    <t>Length (distance)</t>
  </si>
  <si>
    <t xml:space="preserve">     L      =</t>
  </si>
  <si>
    <t xml:space="preserve"> 'f ' factor =</t>
  </si>
  <si>
    <t xml:space="preserve">      (ASC)</t>
  </si>
  <si>
    <r>
      <t xml:space="preserve">    I</t>
    </r>
    <r>
      <rPr>
        <sz val="8"/>
        <rFont val="Footlight MT Light"/>
        <family val="1"/>
      </rPr>
      <t xml:space="preserve">sca   </t>
    </r>
    <r>
      <rPr>
        <sz val="10"/>
        <rFont val="Arial"/>
        <family val="2"/>
      </rPr>
      <t xml:space="preserve">   =</t>
    </r>
  </si>
  <si>
    <t>1/0</t>
  </si>
  <si>
    <r>
      <t xml:space="preserve">     </t>
    </r>
    <r>
      <rPr>
        <b/>
        <sz val="11"/>
        <rFont val="Arial"/>
        <family val="2"/>
      </rPr>
      <t>N x C x E</t>
    </r>
    <r>
      <rPr>
        <b/>
        <sz val="10"/>
        <rFont val="Arial"/>
        <family val="2"/>
      </rPr>
      <t xml:space="preserve"> </t>
    </r>
    <r>
      <rPr>
        <b/>
        <sz val="8"/>
        <rFont val="Arial"/>
        <family val="2"/>
      </rPr>
      <t>L-N</t>
    </r>
  </si>
  <si>
    <t># conductors per phase</t>
  </si>
  <si>
    <t xml:space="preserve">     N      =</t>
  </si>
  <si>
    <t>2/0</t>
  </si>
  <si>
    <t xml:space="preserve">    Phase conductor constant</t>
  </si>
  <si>
    <t xml:space="preserve">     C     =</t>
  </si>
  <si>
    <t>Phase Conductor</t>
  </si>
  <si>
    <t>3/0</t>
  </si>
  <si>
    <r>
      <t xml:space="preserve">Volt </t>
    </r>
    <r>
      <rPr>
        <sz val="8"/>
        <rFont val="Arial"/>
        <family val="2"/>
      </rPr>
      <t>Line to Line</t>
    </r>
  </si>
  <si>
    <r>
      <t xml:space="preserve"> E </t>
    </r>
    <r>
      <rPr>
        <sz val="8"/>
        <rFont val="Arial"/>
        <family val="2"/>
      </rPr>
      <t xml:space="preserve">L - L    </t>
    </r>
    <r>
      <rPr>
        <sz val="10"/>
        <rFont val="Arial"/>
        <family val="2"/>
      </rPr>
      <t>=</t>
    </r>
  </si>
  <si>
    <t>Volt</t>
  </si>
  <si>
    <t>4/0</t>
  </si>
  <si>
    <t xml:space="preserve">       f     =</t>
  </si>
  <si>
    <t>250 kcmil</t>
  </si>
  <si>
    <t xml:space="preserve">   Neutral conductor constant</t>
  </si>
  <si>
    <t>Neutral Conductor</t>
  </si>
  <si>
    <t>300 kcmil</t>
  </si>
  <si>
    <t>Multiplier</t>
  </si>
  <si>
    <r>
      <t xml:space="preserve">Volt </t>
    </r>
    <r>
      <rPr>
        <sz val="8"/>
        <rFont val="Arial"/>
        <family val="2"/>
      </rPr>
      <t>Line to Neutral</t>
    </r>
  </si>
  <si>
    <r>
      <t xml:space="preserve">  E</t>
    </r>
    <r>
      <rPr>
        <sz val="8"/>
        <rFont val="Arial"/>
        <family val="2"/>
      </rPr>
      <t xml:space="preserve"> L - N   </t>
    </r>
    <r>
      <rPr>
        <sz val="10"/>
        <rFont val="Arial"/>
        <family val="2"/>
      </rPr>
      <t>=</t>
    </r>
  </si>
  <si>
    <t>350 kcmil</t>
  </si>
  <si>
    <t>400 kcmil</t>
  </si>
  <si>
    <r>
      <t xml:space="preserve">    M =  </t>
    </r>
    <r>
      <rPr>
        <b/>
        <u/>
        <sz val="10"/>
        <rFont val="Arial"/>
        <family val="2"/>
      </rPr>
      <t xml:space="preserve">    1    </t>
    </r>
  </si>
  <si>
    <t>500 kcmil</t>
  </si>
  <si>
    <t xml:space="preserve">             1 + f</t>
  </si>
  <si>
    <t>Line to Line</t>
  </si>
  <si>
    <t xml:space="preserve">     M     =</t>
  </si>
  <si>
    <t>600 kcmil</t>
  </si>
  <si>
    <t>Line to Neutral</t>
  </si>
  <si>
    <t>750 kcmil</t>
  </si>
  <si>
    <t>Fault Current at Service Equipment</t>
  </si>
  <si>
    <t>1000 kcmil</t>
  </si>
  <si>
    <r>
      <t xml:space="preserve">  I</t>
    </r>
    <r>
      <rPr>
        <b/>
        <sz val="8"/>
        <rFont val="Footlight MT Light"/>
        <family val="1"/>
      </rPr>
      <t xml:space="preserve">sca </t>
    </r>
    <r>
      <rPr>
        <b/>
        <sz val="10"/>
        <rFont val="Arial"/>
        <family val="2"/>
      </rPr>
      <t xml:space="preserve"> x  M  =</t>
    </r>
    <r>
      <rPr>
        <sz val="10"/>
        <rFont val="Arial"/>
        <family val="2"/>
      </rPr>
      <t xml:space="preserve">  fault current at terminals of main disconnect</t>
    </r>
    <r>
      <rPr>
        <b/>
        <sz val="10"/>
        <rFont val="Arial"/>
        <family val="2"/>
      </rPr>
      <t xml:space="preserve"> L- L =</t>
    </r>
  </si>
  <si>
    <r>
      <t xml:space="preserve">  I</t>
    </r>
    <r>
      <rPr>
        <b/>
        <sz val="8"/>
        <rFont val="Footlight MT Light"/>
        <family val="1"/>
      </rPr>
      <t xml:space="preserve">sca </t>
    </r>
    <r>
      <rPr>
        <b/>
        <sz val="10"/>
        <rFont val="Arial"/>
        <family val="2"/>
      </rPr>
      <t xml:space="preserve"> x  M  =</t>
    </r>
    <r>
      <rPr>
        <sz val="10"/>
        <rFont val="Arial"/>
        <family val="2"/>
      </rPr>
      <t xml:space="preserve">  fault current at terminals of main disconnect</t>
    </r>
    <r>
      <rPr>
        <b/>
        <sz val="10"/>
        <rFont val="Arial"/>
        <family val="2"/>
      </rPr>
      <t xml:space="preserve"> L- N  =</t>
    </r>
  </si>
  <si>
    <t>Neutral</t>
  </si>
  <si>
    <t>CU/PVC</t>
  </si>
  <si>
    <t>Select Voltage &amp; Phase</t>
  </si>
  <si>
    <t>AL/PVC</t>
  </si>
  <si>
    <t xml:space="preserve">Single Phase 240/120 </t>
  </si>
  <si>
    <t>CU/MET</t>
  </si>
  <si>
    <t>Single Phase 208/120</t>
  </si>
  <si>
    <t>Fault Current from</t>
  </si>
  <si>
    <t>Service disc. to panel "_____"</t>
  </si>
  <si>
    <t>AL/MET</t>
  </si>
  <si>
    <t xml:space="preserve">   Three Phase 208/120</t>
  </si>
  <si>
    <t xml:space="preserve">Single Phase 480/277 </t>
  </si>
  <si>
    <t xml:space="preserve">   Three Phase 480/277 </t>
  </si>
  <si>
    <t xml:space="preserve"> Phase </t>
  </si>
  <si>
    <t xml:space="preserve"> Neutral</t>
  </si>
  <si>
    <t>neut</t>
  </si>
  <si>
    <t>Phase</t>
  </si>
  <si>
    <t>phase</t>
  </si>
  <si>
    <t xml:space="preserve">Single Phase  </t>
  </si>
  <si>
    <t>Three Phase</t>
  </si>
  <si>
    <r>
      <t xml:space="preserve">  I</t>
    </r>
    <r>
      <rPr>
        <b/>
        <sz val="8"/>
        <rFont val="Footlight MT Light"/>
        <family val="1"/>
      </rPr>
      <t xml:space="preserve">sca </t>
    </r>
    <r>
      <rPr>
        <b/>
        <sz val="10"/>
        <rFont val="Arial"/>
        <family val="2"/>
      </rPr>
      <t xml:space="preserve"> x  M  =</t>
    </r>
    <r>
      <rPr>
        <sz val="10"/>
        <rFont val="Arial"/>
        <family val="2"/>
      </rPr>
      <t xml:space="preserve">  fault current at terminals of the panel</t>
    </r>
    <r>
      <rPr>
        <b/>
        <sz val="10"/>
        <rFont val="Arial"/>
        <family val="2"/>
      </rPr>
      <t xml:space="preserve"> L- L =</t>
    </r>
  </si>
  <si>
    <r>
      <t xml:space="preserve">  I</t>
    </r>
    <r>
      <rPr>
        <b/>
        <sz val="8"/>
        <rFont val="Footlight MT Light"/>
        <family val="1"/>
      </rPr>
      <t xml:space="preserve">sca </t>
    </r>
    <r>
      <rPr>
        <b/>
        <sz val="10"/>
        <rFont val="Arial"/>
        <family val="2"/>
      </rPr>
      <t xml:space="preserve"> x  M  =</t>
    </r>
    <r>
      <rPr>
        <sz val="10"/>
        <rFont val="Arial"/>
        <family val="2"/>
      </rPr>
      <t xml:space="preserve">  fault current at terminals of the panel</t>
    </r>
    <r>
      <rPr>
        <b/>
        <sz val="10"/>
        <rFont val="Arial"/>
        <family val="2"/>
      </rPr>
      <t xml:space="preserve"> L- N  =</t>
    </r>
  </si>
  <si>
    <t>Calculation does not include motor contribution</t>
  </si>
  <si>
    <t>Branch Circuit Fault from</t>
  </si>
  <si>
    <t>Point to Point</t>
  </si>
  <si>
    <t>u65</t>
  </si>
  <si>
    <t>u67</t>
  </si>
  <si>
    <r>
      <t xml:space="preserve">I = </t>
    </r>
    <r>
      <rPr>
        <b/>
        <u/>
        <sz val="11"/>
        <color indexed="22"/>
        <rFont val="Arial"/>
        <family val="2"/>
      </rPr>
      <t>kVA x 1000</t>
    </r>
    <r>
      <rPr>
        <b/>
        <sz val="11"/>
        <color indexed="22"/>
        <rFont val="Arial"/>
        <family val="2"/>
      </rPr>
      <t xml:space="preserve"> = trans. FLA</t>
    </r>
  </si>
  <si>
    <r>
      <t>I</t>
    </r>
    <r>
      <rPr>
        <b/>
        <sz val="8"/>
        <color indexed="22"/>
        <rFont val="Footlight MT Light"/>
        <family val="1"/>
      </rPr>
      <t>sca</t>
    </r>
    <r>
      <rPr>
        <b/>
        <sz val="11"/>
        <color indexed="22"/>
        <rFont val="Arial"/>
        <family val="2"/>
      </rPr>
      <t xml:space="preserve"> =   </t>
    </r>
    <r>
      <rPr>
        <b/>
        <u/>
        <sz val="11"/>
        <color indexed="22"/>
        <rFont val="Arial"/>
        <family val="2"/>
      </rPr>
      <t>trans. FLA x 100</t>
    </r>
    <r>
      <rPr>
        <b/>
        <sz val="11"/>
        <color indexed="22"/>
        <rFont val="Arial"/>
        <family val="2"/>
      </rPr>
      <t xml:space="preserve">    </t>
    </r>
  </si>
  <si>
    <r>
      <t>I</t>
    </r>
    <r>
      <rPr>
        <sz val="8"/>
        <color indexed="22"/>
        <rFont val="Footlight MT Light"/>
        <family val="1"/>
      </rPr>
      <t xml:space="preserve">sca </t>
    </r>
    <r>
      <rPr>
        <sz val="8"/>
        <color indexed="22"/>
        <rFont val="Arial"/>
        <family val="2"/>
      </rPr>
      <t xml:space="preserve">= </t>
    </r>
    <r>
      <rPr>
        <sz val="8"/>
        <color indexed="22"/>
        <rFont val="Arial"/>
        <family val="2"/>
      </rPr>
      <t>ampere short-circuit current RMS symmetrical.</t>
    </r>
  </si>
  <si>
    <r>
      <t xml:space="preserve">               I</t>
    </r>
    <r>
      <rPr>
        <sz val="8"/>
        <color indexed="22"/>
        <rFont val="Footlight MT Light"/>
        <family val="1"/>
      </rPr>
      <t>sca</t>
    </r>
    <r>
      <rPr>
        <sz val="10"/>
        <color indexed="22"/>
        <rFont val="Arial"/>
        <family val="2"/>
      </rPr>
      <t xml:space="preserve">       =</t>
    </r>
  </si>
  <si>
    <r>
      <t xml:space="preserve">    I</t>
    </r>
    <r>
      <rPr>
        <sz val="8"/>
        <color indexed="22"/>
        <rFont val="Footlight MT Light"/>
        <family val="1"/>
      </rPr>
      <t xml:space="preserve">sca   </t>
    </r>
    <r>
      <rPr>
        <sz val="10"/>
        <color indexed="22"/>
        <rFont val="Arial"/>
        <family val="2"/>
      </rPr>
      <t xml:space="preserve">   =</t>
    </r>
  </si>
  <si>
    <r>
      <t xml:space="preserve">     </t>
    </r>
    <r>
      <rPr>
        <b/>
        <sz val="11"/>
        <color indexed="22"/>
        <rFont val="Arial"/>
        <family val="2"/>
      </rPr>
      <t>N x C x E</t>
    </r>
    <r>
      <rPr>
        <b/>
        <sz val="10"/>
        <color indexed="22"/>
        <rFont val="Arial"/>
        <family val="2"/>
      </rPr>
      <t xml:space="preserve"> </t>
    </r>
    <r>
      <rPr>
        <b/>
        <sz val="8"/>
        <color indexed="22"/>
        <rFont val="Arial"/>
        <family val="2"/>
      </rPr>
      <t>L-N</t>
    </r>
  </si>
  <si>
    <r>
      <t xml:space="preserve">Volt </t>
    </r>
    <r>
      <rPr>
        <sz val="8"/>
        <color indexed="22"/>
        <rFont val="Arial"/>
        <family val="2"/>
      </rPr>
      <t>Line to Line</t>
    </r>
  </si>
  <si>
    <r>
      <t xml:space="preserve"> E </t>
    </r>
    <r>
      <rPr>
        <sz val="8"/>
        <color indexed="22"/>
        <rFont val="Arial"/>
        <family val="2"/>
      </rPr>
      <t xml:space="preserve">L - L    </t>
    </r>
    <r>
      <rPr>
        <sz val="10"/>
        <color indexed="22"/>
        <rFont val="Arial"/>
        <family val="2"/>
      </rPr>
      <t>=</t>
    </r>
  </si>
  <si>
    <r>
      <t xml:space="preserve">Volt </t>
    </r>
    <r>
      <rPr>
        <sz val="8"/>
        <color indexed="22"/>
        <rFont val="Arial"/>
        <family val="2"/>
      </rPr>
      <t>Line to Neutral</t>
    </r>
  </si>
  <si>
    <r>
      <t xml:space="preserve">  E</t>
    </r>
    <r>
      <rPr>
        <sz val="8"/>
        <color indexed="22"/>
        <rFont val="Arial"/>
        <family val="2"/>
      </rPr>
      <t xml:space="preserve"> L - N   </t>
    </r>
    <r>
      <rPr>
        <sz val="10"/>
        <color indexed="22"/>
        <rFont val="Arial"/>
        <family val="2"/>
      </rPr>
      <t>=</t>
    </r>
  </si>
  <si>
    <r>
      <t xml:space="preserve">    M =  </t>
    </r>
    <r>
      <rPr>
        <b/>
        <u/>
        <sz val="10"/>
        <color indexed="22"/>
        <rFont val="Arial"/>
        <family val="2"/>
      </rPr>
      <t xml:space="preserve">    1    </t>
    </r>
  </si>
  <si>
    <r>
      <t xml:space="preserve">  I</t>
    </r>
    <r>
      <rPr>
        <b/>
        <sz val="8"/>
        <color indexed="22"/>
        <rFont val="Footlight MT Light"/>
        <family val="1"/>
      </rPr>
      <t xml:space="preserve">sca </t>
    </r>
    <r>
      <rPr>
        <b/>
        <sz val="10"/>
        <color indexed="22"/>
        <rFont val="Arial"/>
        <family val="2"/>
      </rPr>
      <t xml:space="preserve"> x  M  =</t>
    </r>
    <r>
      <rPr>
        <sz val="10"/>
        <color indexed="22"/>
        <rFont val="Arial"/>
        <family val="2"/>
      </rPr>
      <t xml:space="preserve">  fault current at terminals of main disconnect</t>
    </r>
    <r>
      <rPr>
        <b/>
        <sz val="10"/>
        <color indexed="22"/>
        <rFont val="Arial"/>
        <family val="2"/>
      </rPr>
      <t xml:space="preserve"> L- L =</t>
    </r>
  </si>
  <si>
    <r>
      <t xml:space="preserve">  I</t>
    </r>
    <r>
      <rPr>
        <b/>
        <sz val="8"/>
        <color indexed="22"/>
        <rFont val="Footlight MT Light"/>
        <family val="1"/>
      </rPr>
      <t xml:space="preserve">sca </t>
    </r>
    <r>
      <rPr>
        <b/>
        <sz val="10"/>
        <color indexed="22"/>
        <rFont val="Arial"/>
        <family val="2"/>
      </rPr>
      <t xml:space="preserve"> x  M  =</t>
    </r>
    <r>
      <rPr>
        <sz val="10"/>
        <color indexed="22"/>
        <rFont val="Arial"/>
        <family val="2"/>
      </rPr>
      <t xml:space="preserve">  fault current at terminals of main disconnect</t>
    </r>
    <r>
      <rPr>
        <b/>
        <sz val="10"/>
        <color indexed="22"/>
        <rFont val="Arial"/>
        <family val="2"/>
      </rPr>
      <t xml:space="preserve"> L- N  =</t>
    </r>
  </si>
  <si>
    <t xml:space="preserve">   Z     =</t>
  </si>
  <si>
    <t>Job Name</t>
  </si>
  <si>
    <t xml:space="preserve">   Three Phase 380/220</t>
  </si>
  <si>
    <t>FEET</t>
  </si>
  <si>
    <t>METERS</t>
  </si>
  <si>
    <t xml:space="preserve">   Three Phase 600/347</t>
  </si>
  <si>
    <t xml:space="preserve">   Three Phase 416/240</t>
  </si>
  <si>
    <r>
      <t xml:space="preserve">Yellow cells are fields for data input, Use the TAB button to move from field to field.                 </t>
    </r>
    <r>
      <rPr>
        <sz val="10"/>
        <rFont val="Arial"/>
        <family val="2"/>
      </rPr>
      <t xml:space="preserve"> See example sheet tab at the lower left corner of this sheet.      Place cursor over this message for further information.</t>
    </r>
  </si>
  <si>
    <t>Single Phase 220/127 (Mexico)</t>
  </si>
  <si>
    <t xml:space="preserve">   Three Phase 220/127</t>
  </si>
  <si>
    <t>S.E.</t>
  </si>
  <si>
    <t>BR</t>
  </si>
  <si>
    <t>NEG = BAD</t>
  </si>
  <si>
    <t>DROP DOWN 1 OR 3</t>
  </si>
  <si>
    <t xml:space="preserve">               transformer  Z </t>
  </si>
  <si>
    <r>
      <t>I</t>
    </r>
    <r>
      <rPr>
        <b/>
        <sz val="8"/>
        <rFont val="Footlight MT Light"/>
        <family val="1"/>
      </rPr>
      <t>sca</t>
    </r>
    <r>
      <rPr>
        <b/>
        <sz val="11"/>
        <rFont val="Arial"/>
        <family val="2"/>
      </rPr>
      <t xml:space="preserve"> =    </t>
    </r>
    <r>
      <rPr>
        <b/>
        <u/>
        <sz val="11"/>
        <rFont val="Arial"/>
        <family val="2"/>
      </rPr>
      <t>trans. FLA x 100 x PF</t>
    </r>
  </si>
  <si>
    <t xml:space="preserve">      Z     =</t>
  </si>
  <si>
    <r>
      <t xml:space="preserve">               I</t>
    </r>
    <r>
      <rPr>
        <sz val="8"/>
        <rFont val="Footlight MT Light"/>
        <family val="1"/>
      </rPr>
      <t>sca</t>
    </r>
    <r>
      <rPr>
        <sz val="10"/>
        <rFont val="Arial"/>
        <family val="2"/>
      </rPr>
      <t xml:space="preserve">            =</t>
    </r>
  </si>
  <si>
    <t xml:space="preserve">         trans. FLA      =</t>
  </si>
  <si>
    <t xml:space="preserve">     PF   =</t>
  </si>
  <si>
    <t xml:space="preserve">  PF   =</t>
  </si>
  <si>
    <t>jmp1jds@comcast.net</t>
  </si>
  <si>
    <t>220/127V</t>
  </si>
  <si>
    <t>380/220V</t>
  </si>
  <si>
    <t>Project Name</t>
  </si>
  <si>
    <t>Your Company Name</t>
  </si>
  <si>
    <t>Compatibility Report for Fault_Ver_2014 Tables Exposed.xls</t>
  </si>
  <si>
    <t>Run on 2/15/2016 15:54</t>
  </si>
  <si>
    <t>The following features in this workbook are not supported by earlier versions of Excel. These features may be lost or degraded when opening this workbook in an earlier version of Excel or if you save this workbook in an earlier file format.</t>
  </si>
  <si>
    <t>Significant loss of functionality</t>
  </si>
  <si>
    <t># of occurrences</t>
  </si>
  <si>
    <t>Version</t>
  </si>
  <si>
    <t>One or more cells in this workbook contain data validation rules which refer to values on other worksheets. These data validation rules will not be saved.</t>
  </si>
  <si>
    <t>Example Sheet'!W54</t>
  </si>
  <si>
    <t>Example Sheet'!W77</t>
  </si>
  <si>
    <t>Excel 97-2003</t>
  </si>
  <si>
    <t>Minor loss of fidelity</t>
  </si>
  <si>
    <t>Some cells or styles in this workbook contain formatting that is not supported by the selected file format. These formats will be converted to the closest format available.</t>
  </si>
  <si>
    <r>
      <t xml:space="preserve">  </t>
    </r>
    <r>
      <rPr>
        <b/>
        <sz val="11"/>
        <rFont val="Arial"/>
        <family val="2"/>
      </rPr>
      <t>N x C x E</t>
    </r>
    <r>
      <rPr>
        <b/>
        <sz val="10"/>
        <rFont val="Arial"/>
        <family val="2"/>
      </rPr>
      <t xml:space="preserve"> </t>
    </r>
    <r>
      <rPr>
        <b/>
        <sz val="8"/>
        <rFont val="Arial"/>
        <family val="2"/>
      </rPr>
      <t>L-N</t>
    </r>
  </si>
  <si>
    <t>14 AWG</t>
  </si>
  <si>
    <t>12 AWG</t>
  </si>
  <si>
    <t>10 AWG</t>
  </si>
  <si>
    <t>8 AWG</t>
  </si>
  <si>
    <t>6 AWG</t>
  </si>
  <si>
    <t>4 AWG</t>
  </si>
  <si>
    <t>3 AWG</t>
  </si>
  <si>
    <t>2 AWG</t>
  </si>
  <si>
    <t>1 AWG</t>
  </si>
  <si>
    <t>1/0 AWG</t>
  </si>
  <si>
    <t>2/0 AWG</t>
  </si>
  <si>
    <t>3/0 AWG</t>
  </si>
  <si>
    <t>4/0 AWG</t>
  </si>
  <si>
    <t>AWG/kCMIL</t>
  </si>
  <si>
    <t>Three Single conductors in PVC</t>
  </si>
  <si>
    <t xml:space="preserve"> 'C' = 1/(Z/1000)</t>
  </si>
  <si>
    <t xml:space="preserve">     </t>
  </si>
  <si>
    <t>Ø conductor constant</t>
  </si>
  <si>
    <r>
      <t xml:space="preserve"># conductors per </t>
    </r>
    <r>
      <rPr>
        <sz val="10"/>
        <rFont val="Calibri"/>
        <family val="2"/>
      </rPr>
      <t>Ø</t>
    </r>
  </si>
  <si>
    <r>
      <t xml:space="preserve">          Voltage </t>
    </r>
    <r>
      <rPr>
        <sz val="8"/>
        <rFont val="Arial"/>
        <family val="2"/>
      </rPr>
      <t>L-L</t>
    </r>
  </si>
  <si>
    <r>
      <t xml:space="preserve">          Voltage </t>
    </r>
    <r>
      <rPr>
        <sz val="8"/>
        <rFont val="Arial"/>
        <family val="2"/>
      </rPr>
      <t>L-N</t>
    </r>
  </si>
  <si>
    <t xml:space="preserve">    Neutral conductor constant</t>
  </si>
  <si>
    <r>
      <t xml:space="preserve"> 'Z' = </t>
    </r>
    <r>
      <rPr>
        <b/>
        <u/>
        <sz val="10"/>
        <rFont val="Arial"/>
        <family val="2"/>
      </rPr>
      <t>SQRT((X</t>
    </r>
    <r>
      <rPr>
        <b/>
        <u/>
        <sz val="8"/>
        <rFont val="Arial"/>
        <family val="2"/>
      </rPr>
      <t>L</t>
    </r>
    <r>
      <rPr>
        <b/>
        <u/>
        <sz val="10"/>
        <rFont val="Arial"/>
        <family val="2"/>
      </rPr>
      <t xml:space="preserve"> x X</t>
    </r>
    <r>
      <rPr>
        <b/>
        <u/>
        <sz val="8"/>
        <rFont val="Arial"/>
        <family val="2"/>
      </rPr>
      <t>L</t>
    </r>
    <r>
      <rPr>
        <b/>
        <u/>
        <sz val="10"/>
        <rFont val="Arial"/>
        <family val="2"/>
      </rPr>
      <t>)+(Rac x Rac))</t>
    </r>
  </si>
  <si>
    <t>Ver. 2021</t>
  </si>
  <si>
    <r>
      <t xml:space="preserve"> raceway, [based on 310-16, (75</t>
    </r>
    <r>
      <rPr>
        <b/>
        <sz val="10"/>
        <color indexed="9"/>
        <rFont val="Calibri"/>
        <family val="2"/>
      </rPr>
      <t>˚</t>
    </r>
    <r>
      <rPr>
        <b/>
        <sz val="10"/>
        <color indexed="9"/>
        <rFont val="Arial"/>
        <family val="2"/>
      </rPr>
      <t xml:space="preserve"> C)]</t>
    </r>
  </si>
  <si>
    <t>Three Single conductors in STEEL</t>
  </si>
  <si>
    <r>
      <t>X</t>
    </r>
    <r>
      <rPr>
        <i/>
        <sz val="8"/>
        <rFont val="Arial"/>
        <family val="2"/>
      </rPr>
      <t>L</t>
    </r>
    <r>
      <rPr>
        <sz val="10"/>
        <rFont val="Arial"/>
        <family val="2"/>
      </rPr>
      <t xml:space="preserve"> and R</t>
    </r>
    <r>
      <rPr>
        <i/>
        <sz val="8"/>
        <rFont val="Arial"/>
        <family val="2"/>
      </rPr>
      <t>ac</t>
    </r>
    <r>
      <rPr>
        <sz val="10"/>
        <rFont val="Arial"/>
        <family val="2"/>
      </rPr>
      <t xml:space="preserve"> values taken from Chapter 9, Table 9, to calculate for 'Z' and 'C'</t>
    </r>
  </si>
  <si>
    <r>
      <t xml:space="preserve"> E </t>
    </r>
    <r>
      <rPr>
        <b/>
        <sz val="7"/>
        <rFont val="Arial"/>
        <family val="2"/>
      </rPr>
      <t>L - L</t>
    </r>
    <r>
      <rPr>
        <b/>
        <sz val="8"/>
        <rFont val="Arial"/>
        <family val="2"/>
      </rPr>
      <t xml:space="preserve">    </t>
    </r>
    <r>
      <rPr>
        <b/>
        <sz val="10"/>
        <rFont val="Arial"/>
        <family val="2"/>
      </rPr>
      <t>=</t>
    </r>
  </si>
  <si>
    <r>
      <t xml:space="preserve">  E</t>
    </r>
    <r>
      <rPr>
        <b/>
        <sz val="8"/>
        <rFont val="Arial"/>
        <family val="2"/>
      </rPr>
      <t xml:space="preserve"> </t>
    </r>
    <r>
      <rPr>
        <b/>
        <sz val="7"/>
        <rFont val="Arial"/>
        <family val="2"/>
      </rPr>
      <t>L - N</t>
    </r>
    <r>
      <rPr>
        <b/>
        <sz val="8"/>
        <rFont val="Arial"/>
        <family val="2"/>
      </rPr>
      <t xml:space="preserve">   </t>
    </r>
    <r>
      <rPr>
        <b/>
        <sz val="10"/>
        <rFont val="Arial"/>
        <family val="2"/>
      </rPr>
      <t>=</t>
    </r>
  </si>
  <si>
    <t xml:space="preserve">     N     =</t>
  </si>
  <si>
    <r>
      <t xml:space="preserve">    I</t>
    </r>
    <r>
      <rPr>
        <b/>
        <sz val="8"/>
        <rFont val="Footlight MT Light"/>
        <family val="1"/>
      </rPr>
      <t xml:space="preserve">sca </t>
    </r>
    <r>
      <rPr>
        <b/>
        <sz val="10"/>
        <rFont val="Arial"/>
        <family val="2"/>
      </rPr>
      <t xml:space="preserve">   =</t>
    </r>
  </si>
  <si>
    <t xml:space="preserve">      f     =</t>
  </si>
  <si>
    <t xml:space="preserve">Copper/PVC 2020 </t>
  </si>
  <si>
    <t xml:space="preserve">Aluminum/PVC 2020 </t>
  </si>
  <si>
    <t>Chapter 9, Table 9</t>
  </si>
  <si>
    <t>Size</t>
  </si>
  <si>
    <t>Rac @ 75C</t>
  </si>
  <si>
    <r>
      <t>X</t>
    </r>
    <r>
      <rPr>
        <b/>
        <vertAlign val="subscript"/>
        <sz val="11"/>
        <rFont val="Calibri"/>
        <family val="2"/>
        <scheme val="minor"/>
      </rPr>
      <t>L</t>
    </r>
  </si>
  <si>
    <t>Z @75C</t>
  </si>
  <si>
    <t>C @ 75C</t>
  </si>
  <si>
    <t>Rac @ 30C</t>
  </si>
  <si>
    <t>Z @ 30C</t>
  </si>
  <si>
    <t>C @ 30C</t>
  </si>
  <si>
    <t>C 75 to 30C</t>
  </si>
  <si>
    <t>.85.47%</t>
  </si>
  <si>
    <t>1A</t>
  </si>
  <si>
    <t>2A</t>
  </si>
  <si>
    <t>3A</t>
  </si>
  <si>
    <t>4A</t>
  </si>
  <si>
    <t xml:space="preserve">Copper/Steel 2020 </t>
  </si>
  <si>
    <t xml:space="preserve">Aluminum/Steel 2020 </t>
  </si>
  <si>
    <t>.85.15%</t>
  </si>
  <si>
    <t>Aluminum</t>
  </si>
  <si>
    <t>PHASE</t>
  </si>
  <si>
    <t>NEUTRAL</t>
  </si>
  <si>
    <t>CU</t>
  </si>
  <si>
    <t>AL</t>
  </si>
  <si>
    <t>PVC CONDUIT (FEET)</t>
  </si>
  <si>
    <t>STEEL (FEET)</t>
  </si>
  <si>
    <t>STEEL (METERS)</t>
  </si>
  <si>
    <t>PVC (METERS)</t>
  </si>
  <si>
    <t>SELECTED</t>
  </si>
  <si>
    <t>S.E. FEET/METER SELECTOR</t>
  </si>
  <si>
    <t>FEEDER FEET/METER SELECTOR</t>
  </si>
  <si>
    <t>NEUT</t>
  </si>
  <si>
    <t>BR CIR FEET/METER SELECTOR</t>
  </si>
  <si>
    <t>BRANCH CIRCUIT CONDUCTOR</t>
  </si>
  <si>
    <t>S.E. PVC (METERS)</t>
  </si>
  <si>
    <t>TABLES BASED ON 1000 FEET</t>
  </si>
  <si>
    <t>TABLES BASED ON (1) KILOMETER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</si>
</sst>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Red]#,##0"/>
    <numFmt numFmtId="165" formatCode="0.000"/>
    <numFmt numFmtId="166" formatCode="0.0000"/>
    <numFmt numFmtId="167" formatCode="0.000000"/>
    <numFmt numFmtId="168" formatCode="0.00000"/>
  </numFmts>
  <fonts count="72">
    <font>
      <sz val="10"/>
      <name val="Arial"/>
    </font>
    <font>
      <b/>
      <sz val="12"/>
      <name val="Arial"/>
      <family val="2"/>
    </font>
    <font>
      <b/>
      <sz val="18"/>
      <color indexed="18"/>
      <name val="CG Omega"/>
      <family val="2"/>
    </font>
    <font>
      <sz val="10"/>
      <color indexed="9"/>
      <name val="Arial"/>
      <family val="2"/>
    </font>
    <font>
      <sz val="5"/>
      <name val="Arial"/>
      <family val="2"/>
    </font>
    <font>
      <sz val="8"/>
      <name val="Arial"/>
      <family val="2"/>
    </font>
    <font>
      <sz val="10"/>
      <color indexed="34"/>
      <name val="Arial"/>
      <family val="2"/>
    </font>
    <font>
      <b/>
      <sz val="10"/>
      <color indexed="9"/>
      <name val="Arial"/>
      <family val="2"/>
    </font>
    <font>
      <b/>
      <sz val="10"/>
      <color indexed="34"/>
      <name val="Arial"/>
      <family val="2"/>
    </font>
    <font>
      <b/>
      <sz val="10"/>
      <name val="Arial"/>
      <family val="2"/>
    </font>
    <font>
      <sz val="10"/>
      <color indexed="17"/>
      <name val="Arial"/>
      <family val="2"/>
    </font>
    <font>
      <b/>
      <sz val="11"/>
      <name val="Arial"/>
      <family val="2"/>
    </font>
    <font>
      <b/>
      <u/>
      <sz val="11"/>
      <name val="Arial"/>
      <family val="2"/>
    </font>
    <font>
      <b/>
      <sz val="10"/>
      <color indexed="43"/>
      <name val="Arial"/>
      <family val="2"/>
    </font>
    <font>
      <b/>
      <sz val="11"/>
      <name val="Arial"/>
      <family val="2"/>
    </font>
    <font>
      <b/>
      <sz val="8"/>
      <name val="Footlight MT Light"/>
      <family val="1"/>
    </font>
    <font>
      <b/>
      <sz val="12"/>
      <name val="Arial"/>
      <family val="2"/>
    </font>
    <font>
      <sz val="8"/>
      <name val="Arial"/>
      <family val="2"/>
    </font>
    <font>
      <sz val="8"/>
      <name val="Footlight MT Light"/>
      <family val="1"/>
    </font>
    <font>
      <b/>
      <sz val="10"/>
      <name val="CG Omega"/>
      <family val="2"/>
    </font>
    <font>
      <b/>
      <sz val="10"/>
      <name val="Arial"/>
      <family val="2"/>
    </font>
    <font>
      <sz val="10"/>
      <name val="Arial"/>
      <family val="2"/>
    </font>
    <font>
      <b/>
      <sz val="8"/>
      <name val="Arial"/>
      <family val="2"/>
    </font>
    <font>
      <b/>
      <sz val="10"/>
      <color indexed="25"/>
      <name val="Arial"/>
      <family val="2"/>
    </font>
    <font>
      <b/>
      <u/>
      <sz val="10"/>
      <name val="Arial"/>
      <family val="2"/>
    </font>
    <font>
      <b/>
      <sz val="11"/>
      <color indexed="9"/>
      <name val="Arial"/>
      <family val="2"/>
    </font>
    <font>
      <b/>
      <sz val="10"/>
      <color indexed="10"/>
      <name val="Arial"/>
      <family val="2"/>
    </font>
    <font>
      <b/>
      <sz val="10"/>
      <color indexed="61"/>
      <name val="Arial"/>
      <family val="2"/>
    </font>
    <font>
      <sz val="10"/>
      <color indexed="61"/>
      <name val="Arial"/>
      <family val="2"/>
    </font>
    <font>
      <b/>
      <sz val="10"/>
      <color indexed="16"/>
      <name val="Arial"/>
      <family val="2"/>
    </font>
    <font>
      <sz val="9"/>
      <name val="Arial"/>
      <family val="2"/>
    </font>
    <font>
      <sz val="10"/>
      <color indexed="10"/>
      <name val="Arial"/>
      <family val="2"/>
    </font>
    <font>
      <sz val="8"/>
      <color indexed="81"/>
      <name val="Tahoma"/>
      <family val="2"/>
    </font>
    <font>
      <b/>
      <sz val="8"/>
      <color indexed="81"/>
      <name val="Tahoma"/>
      <family val="2"/>
    </font>
    <font>
      <b/>
      <sz val="10"/>
      <color indexed="22"/>
      <name val="Arial"/>
      <family val="2"/>
    </font>
    <font>
      <sz val="10"/>
      <color indexed="22"/>
      <name val="Arial"/>
      <family val="2"/>
    </font>
    <font>
      <b/>
      <sz val="11"/>
      <color indexed="22"/>
      <name val="Arial"/>
      <family val="2"/>
    </font>
    <font>
      <b/>
      <u/>
      <sz val="11"/>
      <color indexed="22"/>
      <name val="Arial"/>
      <family val="2"/>
    </font>
    <font>
      <sz val="10"/>
      <color indexed="22"/>
      <name val="Arial"/>
      <family val="2"/>
    </font>
    <font>
      <b/>
      <sz val="10"/>
      <color indexed="22"/>
      <name val="Arial"/>
      <family val="2"/>
    </font>
    <font>
      <b/>
      <sz val="11"/>
      <color indexed="22"/>
      <name val="Arial"/>
      <family val="2"/>
    </font>
    <font>
      <b/>
      <sz val="8"/>
      <color indexed="22"/>
      <name val="Footlight MT Light"/>
      <family val="1"/>
    </font>
    <font>
      <b/>
      <sz val="12"/>
      <color indexed="22"/>
      <name val="Arial"/>
      <family val="2"/>
    </font>
    <font>
      <sz val="8"/>
      <color indexed="22"/>
      <name val="Arial"/>
      <family val="2"/>
    </font>
    <font>
      <sz val="8"/>
      <color indexed="22"/>
      <name val="Footlight MT Light"/>
      <family val="1"/>
    </font>
    <font>
      <sz val="8"/>
      <color indexed="22"/>
      <name val="Arial"/>
      <family val="2"/>
    </font>
    <font>
      <b/>
      <sz val="10"/>
      <color indexed="22"/>
      <name val="CG Omega"/>
      <family val="2"/>
    </font>
    <font>
      <b/>
      <sz val="8"/>
      <color indexed="22"/>
      <name val="Arial"/>
      <family val="2"/>
    </font>
    <font>
      <b/>
      <u/>
      <sz val="10"/>
      <color indexed="22"/>
      <name val="Arial"/>
      <family val="2"/>
    </font>
    <font>
      <sz val="10"/>
      <color indexed="53"/>
      <name val="Arial"/>
      <family val="2"/>
    </font>
    <font>
      <b/>
      <sz val="10"/>
      <color indexed="9"/>
      <name val="CG Omega"/>
      <family val="2"/>
    </font>
    <font>
      <u/>
      <sz val="10"/>
      <color indexed="12"/>
      <name val="Arial"/>
      <family val="2"/>
    </font>
    <font>
      <sz val="9"/>
      <color indexed="81"/>
      <name val="Tahoma"/>
      <family val="2"/>
    </font>
    <font>
      <b/>
      <sz val="9"/>
      <color indexed="81"/>
      <name val="Tahoma"/>
      <family val="2"/>
    </font>
    <font>
      <b/>
      <sz val="10"/>
      <color indexed="9"/>
      <name val="Calibri"/>
      <family val="2"/>
    </font>
    <font>
      <sz val="10"/>
      <name val="Calibri"/>
      <family val="2"/>
    </font>
    <font>
      <b/>
      <sz val="9"/>
      <name val="Arial"/>
      <family val="2"/>
    </font>
    <font>
      <sz val="10"/>
      <name val="Arial"/>
      <family val="2"/>
    </font>
    <font>
      <b/>
      <u/>
      <sz val="8"/>
      <name val="Arial"/>
      <family val="2"/>
    </font>
    <font>
      <b/>
      <sz val="18"/>
      <color theme="0"/>
      <name val="CG Omega"/>
      <family val="2"/>
    </font>
    <font>
      <sz val="10"/>
      <color theme="0"/>
      <name val="Arial"/>
      <family val="2"/>
    </font>
    <font>
      <i/>
      <sz val="8"/>
      <name val="Arial"/>
      <family val="2"/>
    </font>
    <font>
      <b/>
      <sz val="7"/>
      <name val="Arial"/>
      <family val="2"/>
    </font>
    <font>
      <u/>
      <sz val="8"/>
      <color indexed="12"/>
      <name val="Arial"/>
      <family val="2"/>
    </font>
    <font>
      <b/>
      <sz val="11"/>
      <name val="Tahoma"/>
      <family val="2"/>
    </font>
    <font>
      <b/>
      <sz val="11"/>
      <name val="Calibri"/>
      <family val="2"/>
      <scheme val="minor"/>
    </font>
    <font>
      <b/>
      <vertAlign val="subscript"/>
      <sz val="11"/>
      <name val="Calibri"/>
      <family val="2"/>
      <scheme val="minor"/>
    </font>
    <font>
      <sz val="11"/>
      <name val="Tahoma"/>
      <family val="2"/>
    </font>
    <font>
      <b/>
      <sz val="11"/>
      <color rgb="FFC00000"/>
      <name val="Tahoma"/>
      <family val="2"/>
    </font>
    <font>
      <sz val="11"/>
      <color theme="1"/>
      <name val="Tahoma"/>
      <family val="2"/>
    </font>
    <font>
      <sz val="48"/>
      <name val="Arial"/>
      <family val="2"/>
    </font>
    <font>
      <sz val="14"/>
      <name val="Arial"/>
      <family val="2"/>
    </font>
  </fonts>
  <fills count="23">
    <fill>
      <patternFill patternType="none"/>
    </fill>
    <fill>
      <patternFill patternType="gray125"/>
    </fill>
    <fill>
      <patternFill patternType="solid">
        <fgColor indexed="17"/>
        <bgColor indexed="64"/>
      </patternFill>
    </fill>
    <fill>
      <patternFill patternType="solid">
        <fgColor indexed="22"/>
        <bgColor indexed="64"/>
      </patternFill>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41"/>
        <bgColor indexed="64"/>
      </patternFill>
    </fill>
    <fill>
      <patternFill patternType="solid">
        <fgColor indexed="18"/>
        <bgColor indexed="64"/>
      </patternFill>
    </fill>
    <fill>
      <patternFill patternType="solid">
        <fgColor indexed="42"/>
        <bgColor indexed="64"/>
      </patternFill>
    </fill>
    <fill>
      <patternFill patternType="solid">
        <fgColor indexed="15"/>
        <bgColor indexed="64"/>
      </patternFill>
    </fill>
    <fill>
      <patternFill patternType="solid">
        <fgColor indexed="13"/>
        <bgColor indexed="64"/>
      </patternFill>
    </fill>
    <fill>
      <patternFill patternType="solid">
        <fgColor indexed="8"/>
        <bgColor indexed="64"/>
      </patternFill>
    </fill>
    <fill>
      <patternFill patternType="solid">
        <fgColor theme="0" tint="-0.249977111117893"/>
        <bgColor indexed="64"/>
      </patternFill>
    </fill>
    <fill>
      <patternFill patternType="solid">
        <fgColor rgb="FFFFFF99"/>
        <bgColor indexed="64"/>
      </patternFill>
    </fill>
    <fill>
      <patternFill patternType="solid">
        <fgColor rgb="FF7030A0"/>
        <bgColor indexed="64"/>
      </patternFill>
    </fill>
    <fill>
      <patternFill patternType="solid">
        <fgColor theme="0"/>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rgb="FFFFFF00"/>
        <bgColor indexed="64"/>
      </patternFill>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8"/>
      </left>
      <right/>
      <top/>
      <bottom/>
      <diagonal/>
    </border>
    <border>
      <left/>
      <right style="medium">
        <color indexed="8"/>
      </right>
      <top/>
      <bottom/>
      <diagonal/>
    </border>
    <border>
      <left/>
      <right/>
      <top style="medium">
        <color indexed="8"/>
      </top>
      <bottom/>
      <diagonal/>
    </border>
    <border>
      <left style="medium">
        <color indexed="8"/>
      </left>
      <right/>
      <top style="medium">
        <color indexed="8"/>
      </top>
      <bottom/>
      <diagonal/>
    </border>
    <border>
      <left/>
      <right style="medium">
        <color indexed="8"/>
      </right>
      <top style="medium">
        <color indexed="8"/>
      </top>
      <bottom/>
      <diagonal/>
    </border>
    <border>
      <left/>
      <right/>
      <top/>
      <bottom style="medium">
        <color indexed="8"/>
      </bottom>
      <diagonal/>
    </border>
    <border>
      <left style="medium">
        <color indexed="8"/>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s>
  <cellStyleXfs count="3">
    <xf numFmtId="0" fontId="0" fillId="0" borderId="0"/>
    <xf numFmtId="0" fontId="51" fillId="0" borderId="0" applyNumberFormat="0" applyFill="0" applyBorder="0" applyAlignment="0" applyProtection="0">
      <alignment vertical="top"/>
      <protection locked="0"/>
    </xf>
    <xf numFmtId="9" fontId="57" fillId="0" borderId="0" applyFont="0" applyFill="0" applyBorder="0" applyAlignment="0" applyProtection="0"/>
  </cellStyleXfs>
  <cellXfs count="344">
    <xf numFmtId="0" fontId="0" fillId="0" borderId="0" xfId="0"/>
    <xf numFmtId="0" fontId="0" fillId="2" borderId="0" xfId="0" applyFill="1"/>
    <xf numFmtId="0" fontId="0" fillId="3" borderId="0" xfId="0" applyFill="1"/>
    <xf numFmtId="0" fontId="0" fillId="3" borderId="0" xfId="0" applyFill="1" applyBorder="1"/>
    <xf numFmtId="0" fontId="1" fillId="2" borderId="0" xfId="0" applyFont="1" applyFill="1" applyProtection="1"/>
    <xf numFmtId="0" fontId="0" fillId="2" borderId="0" xfId="0" applyFill="1" applyBorder="1"/>
    <xf numFmtId="0" fontId="0" fillId="4" borderId="1" xfId="0" applyFill="1" applyBorder="1"/>
    <xf numFmtId="0" fontId="0" fillId="4" borderId="2" xfId="0" applyFill="1" applyBorder="1"/>
    <xf numFmtId="0" fontId="3" fillId="4" borderId="2" xfId="0" applyFont="1" applyFill="1" applyBorder="1"/>
    <xf numFmtId="0" fontId="4" fillId="4" borderId="2" xfId="0" applyFont="1" applyFill="1" applyBorder="1" applyAlignment="1">
      <alignment horizontal="center"/>
    </xf>
    <xf numFmtId="0" fontId="5" fillId="4" borderId="3" xfId="0" applyFont="1" applyFill="1" applyBorder="1" applyAlignment="1">
      <alignment horizontal="center"/>
    </xf>
    <xf numFmtId="0" fontId="6" fillId="2" borderId="0" xfId="0" applyFont="1" applyFill="1"/>
    <xf numFmtId="0" fontId="7" fillId="2" borderId="0" xfId="0" applyFont="1" applyFill="1"/>
    <xf numFmtId="0" fontId="8" fillId="2" borderId="0" xfId="0" applyFont="1" applyFill="1"/>
    <xf numFmtId="0" fontId="0" fillId="0" borderId="1" xfId="0" applyBorder="1"/>
    <xf numFmtId="0" fontId="0" fillId="0" borderId="2" xfId="0" applyBorder="1"/>
    <xf numFmtId="0" fontId="0" fillId="0" borderId="3" xfId="0" applyBorder="1"/>
    <xf numFmtId="0" fontId="9" fillId="4" borderId="4" xfId="0" applyFont="1" applyFill="1" applyBorder="1"/>
    <xf numFmtId="0" fontId="0" fillId="4" borderId="0" xfId="0" applyFill="1" applyBorder="1"/>
    <xf numFmtId="0" fontId="0" fillId="0" borderId="0" xfId="0" applyBorder="1"/>
    <xf numFmtId="3" fontId="0" fillId="5" borderId="5" xfId="0" applyNumberFormat="1" applyFill="1" applyBorder="1" applyProtection="1">
      <protection locked="0"/>
    </xf>
    <xf numFmtId="0" fontId="0" fillId="6" borderId="5" xfId="0" applyFill="1" applyBorder="1" applyProtection="1">
      <protection locked="0"/>
    </xf>
    <xf numFmtId="0" fontId="0" fillId="4" borderId="6" xfId="0" applyFill="1" applyBorder="1"/>
    <xf numFmtId="0" fontId="3" fillId="2" borderId="0" xfId="0" applyFont="1" applyFill="1"/>
    <xf numFmtId="0" fontId="0" fillId="0" borderId="4" xfId="0" applyBorder="1"/>
    <xf numFmtId="0" fontId="0" fillId="0" borderId="6" xfId="0" applyBorder="1"/>
    <xf numFmtId="0" fontId="0" fillId="4" borderId="4" xfId="0" applyFill="1" applyBorder="1"/>
    <xf numFmtId="0" fontId="0" fillId="7" borderId="5" xfId="0" applyFill="1" applyBorder="1"/>
    <xf numFmtId="0" fontId="10" fillId="2" borderId="0" xfId="0" applyFont="1" applyFill="1" applyProtection="1">
      <protection locked="0"/>
    </xf>
    <xf numFmtId="0" fontId="8" fillId="2" borderId="7" xfId="0" applyFont="1" applyFill="1" applyBorder="1" applyAlignment="1">
      <alignment horizontal="center"/>
    </xf>
    <xf numFmtId="0" fontId="8" fillId="2" borderId="7" xfId="0" applyFont="1" applyFill="1" applyBorder="1"/>
    <xf numFmtId="0" fontId="9" fillId="4" borderId="0" xfId="0" applyFont="1" applyFill="1" applyBorder="1"/>
    <xf numFmtId="1" fontId="0" fillId="3" borderId="0" xfId="0" applyNumberFormat="1" applyFill="1" applyBorder="1" applyAlignment="1"/>
    <xf numFmtId="0" fontId="8" fillId="2" borderId="8" xfId="0" applyFont="1" applyFill="1" applyBorder="1" applyAlignment="1">
      <alignment horizontal="center"/>
    </xf>
    <xf numFmtId="1" fontId="13" fillId="2" borderId="9" xfId="0" applyNumberFormat="1" applyFont="1" applyFill="1" applyBorder="1" applyAlignment="1" applyProtection="1">
      <alignment horizontal="center"/>
    </xf>
    <xf numFmtId="1" fontId="13" fillId="2" borderId="5" xfId="0" applyNumberFormat="1" applyFont="1" applyFill="1" applyBorder="1" applyAlignment="1" applyProtection="1">
      <alignment horizontal="center"/>
    </xf>
    <xf numFmtId="0" fontId="3" fillId="0" borderId="0" xfId="0" applyFont="1" applyProtection="1">
      <protection locked="0"/>
    </xf>
    <xf numFmtId="0" fontId="10" fillId="2" borderId="0" xfId="0" applyFont="1" applyFill="1"/>
    <xf numFmtId="0" fontId="0" fillId="0" borderId="10" xfId="0" applyBorder="1"/>
    <xf numFmtId="0" fontId="0" fillId="0" borderId="7" xfId="0" applyBorder="1"/>
    <xf numFmtId="0" fontId="0" fillId="0" borderId="11" xfId="0" applyBorder="1"/>
    <xf numFmtId="49" fontId="8" fillId="2" borderId="8" xfId="0" applyNumberFormat="1" applyFont="1" applyFill="1" applyBorder="1" applyAlignment="1">
      <alignment horizontal="center"/>
    </xf>
    <xf numFmtId="164" fontId="0" fillId="3" borderId="0" xfId="0" applyNumberFormat="1" applyFill="1" applyBorder="1"/>
    <xf numFmtId="0" fontId="19" fillId="4" borderId="4" xfId="0" applyFont="1" applyFill="1" applyBorder="1"/>
    <xf numFmtId="3" fontId="0" fillId="3" borderId="0" xfId="0" applyNumberFormat="1" applyFill="1" applyBorder="1"/>
    <xf numFmtId="0" fontId="5" fillId="4" borderId="0" xfId="0" applyFont="1" applyFill="1" applyBorder="1"/>
    <xf numFmtId="0" fontId="0" fillId="4" borderId="0" xfId="0" applyFill="1" applyBorder="1" applyProtection="1"/>
    <xf numFmtId="3" fontId="21" fillId="3" borderId="5" xfId="0" applyNumberFormat="1" applyFont="1" applyFill="1" applyBorder="1"/>
    <xf numFmtId="0" fontId="14" fillId="7" borderId="0" xfId="0" applyFont="1" applyFill="1" applyBorder="1"/>
    <xf numFmtId="165" fontId="0" fillId="3" borderId="0" xfId="0" applyNumberFormat="1" applyFill="1" applyBorder="1"/>
    <xf numFmtId="0" fontId="3" fillId="0" borderId="0" xfId="0" applyFont="1"/>
    <xf numFmtId="0" fontId="0" fillId="4" borderId="0" xfId="0" applyFill="1"/>
    <xf numFmtId="3" fontId="25" fillId="8" borderId="0" xfId="0" applyNumberFormat="1" applyFont="1" applyFill="1" applyBorder="1"/>
    <xf numFmtId="0" fontId="0" fillId="0" borderId="0" xfId="0" applyFill="1"/>
    <xf numFmtId="0" fontId="0" fillId="0" borderId="0" xfId="0" applyFill="1" applyProtection="1">
      <protection locked="0"/>
    </xf>
    <xf numFmtId="0" fontId="0" fillId="0" borderId="0" xfId="0" applyProtection="1">
      <protection locked="0"/>
    </xf>
    <xf numFmtId="0" fontId="0" fillId="6" borderId="0" xfId="0" applyFill="1" applyProtection="1">
      <protection locked="0"/>
    </xf>
    <xf numFmtId="0" fontId="0" fillId="4" borderId="10" xfId="0" applyFill="1" applyBorder="1"/>
    <xf numFmtId="0" fontId="0" fillId="4" borderId="7" xfId="0" applyFill="1" applyBorder="1"/>
    <xf numFmtId="0" fontId="0" fillId="4" borderId="11" xfId="0" applyFill="1" applyBorder="1"/>
    <xf numFmtId="1" fontId="0" fillId="0" borderId="0" xfId="0" applyNumberFormat="1" applyFill="1" applyProtection="1">
      <protection locked="0"/>
    </xf>
    <xf numFmtId="0" fontId="0" fillId="4" borderId="3" xfId="0" applyFill="1" applyBorder="1"/>
    <xf numFmtId="0" fontId="27" fillId="0" borderId="0" xfId="0" applyFont="1" applyFill="1" applyProtection="1">
      <protection locked="0"/>
    </xf>
    <xf numFmtId="0" fontId="28" fillId="0" borderId="0" xfId="0" applyFont="1" applyProtection="1">
      <protection locked="0"/>
    </xf>
    <xf numFmtId="1" fontId="0" fillId="0" borderId="0" xfId="0" applyNumberFormat="1" applyProtection="1">
      <protection locked="0"/>
    </xf>
    <xf numFmtId="1" fontId="0" fillId="0" borderId="0" xfId="0" applyNumberFormat="1"/>
    <xf numFmtId="0" fontId="0" fillId="9" borderId="0" xfId="0" applyFill="1" applyProtection="1">
      <protection locked="0"/>
    </xf>
    <xf numFmtId="3" fontId="0" fillId="9" borderId="0" xfId="0" applyNumberFormat="1" applyFill="1" applyProtection="1">
      <protection locked="0"/>
    </xf>
    <xf numFmtId="3" fontId="0" fillId="0" borderId="0" xfId="0" applyNumberFormat="1" applyProtection="1">
      <protection locked="0"/>
    </xf>
    <xf numFmtId="0" fontId="7" fillId="0" borderId="0" xfId="0" applyFont="1" applyFill="1" applyProtection="1">
      <protection locked="0"/>
    </xf>
    <xf numFmtId="0" fontId="23" fillId="4" borderId="0" xfId="0" applyFont="1" applyFill="1" applyBorder="1" applyProtection="1"/>
    <xf numFmtId="0" fontId="30" fillId="6" borderId="0" xfId="0" applyFont="1" applyFill="1" applyProtection="1">
      <protection locked="0"/>
    </xf>
    <xf numFmtId="3" fontId="0" fillId="6" borderId="0" xfId="0" applyNumberFormat="1" applyFill="1" applyProtection="1">
      <protection locked="0"/>
    </xf>
    <xf numFmtId="0" fontId="14" fillId="10" borderId="0" xfId="0" applyFont="1" applyFill="1" applyBorder="1"/>
    <xf numFmtId="0" fontId="28" fillId="9" borderId="0" xfId="0" applyFont="1" applyFill="1" applyProtection="1">
      <protection locked="0"/>
    </xf>
    <xf numFmtId="0" fontId="28" fillId="6" borderId="0" xfId="0" applyFont="1" applyFill="1" applyProtection="1">
      <protection locked="0"/>
    </xf>
    <xf numFmtId="0" fontId="26" fillId="4" borderId="0" xfId="0" applyFont="1" applyFill="1" applyBorder="1" applyAlignment="1" applyProtection="1">
      <alignment horizontal="left"/>
    </xf>
    <xf numFmtId="0" fontId="35" fillId="4" borderId="0" xfId="0" applyFont="1" applyFill="1" applyBorder="1"/>
    <xf numFmtId="0" fontId="36" fillId="4" borderId="4" xfId="0" applyFont="1" applyFill="1" applyBorder="1"/>
    <xf numFmtId="0" fontId="38" fillId="4" borderId="0" xfId="0" applyFont="1" applyFill="1" applyBorder="1"/>
    <xf numFmtId="0" fontId="39" fillId="4" borderId="0" xfId="0" applyFont="1" applyFill="1" applyBorder="1"/>
    <xf numFmtId="0" fontId="38" fillId="4" borderId="4" xfId="0" applyFont="1" applyFill="1" applyBorder="1"/>
    <xf numFmtId="0" fontId="40" fillId="4" borderId="4" xfId="0" applyFont="1" applyFill="1" applyBorder="1"/>
    <xf numFmtId="0" fontId="43" fillId="4" borderId="4" xfId="0" applyFont="1" applyFill="1" applyBorder="1"/>
    <xf numFmtId="0" fontId="38" fillId="0" borderId="0" xfId="0" applyFont="1" applyBorder="1"/>
    <xf numFmtId="0" fontId="46" fillId="4" borderId="4" xfId="0" applyFont="1" applyFill="1" applyBorder="1"/>
    <xf numFmtId="0" fontId="45" fillId="4" borderId="0" xfId="0" applyFont="1" applyFill="1" applyBorder="1"/>
    <xf numFmtId="0" fontId="38" fillId="0" borderId="0" xfId="0" applyFont="1"/>
    <xf numFmtId="0" fontId="38" fillId="4" borderId="0" xfId="0" applyFont="1" applyFill="1"/>
    <xf numFmtId="0" fontId="39" fillId="4" borderId="4" xfId="0" applyFont="1" applyFill="1" applyBorder="1"/>
    <xf numFmtId="0" fontId="34" fillId="4" borderId="0" xfId="0" applyFont="1" applyFill="1" applyBorder="1"/>
    <xf numFmtId="0" fontId="20" fillId="4" borderId="4" xfId="0" applyFont="1" applyFill="1" applyBorder="1"/>
    <xf numFmtId="0" fontId="21" fillId="4" borderId="0" xfId="0" applyFont="1" applyFill="1" applyBorder="1"/>
    <xf numFmtId="0" fontId="20" fillId="4" borderId="0" xfId="0" applyFont="1" applyFill="1" applyBorder="1"/>
    <xf numFmtId="0" fontId="49" fillId="4" borderId="2" xfId="0" applyFont="1" applyFill="1" applyBorder="1"/>
    <xf numFmtId="166" fontId="0" fillId="0" borderId="0" xfId="0" applyNumberFormat="1" applyProtection="1">
      <protection locked="0"/>
    </xf>
    <xf numFmtId="0" fontId="0" fillId="0" borderId="12" xfId="0" applyFill="1" applyBorder="1" applyProtection="1">
      <protection locked="0"/>
    </xf>
    <xf numFmtId="0" fontId="0" fillId="0" borderId="13" xfId="0" applyFill="1" applyBorder="1" applyProtection="1">
      <protection locked="0"/>
    </xf>
    <xf numFmtId="0" fontId="0" fillId="11" borderId="14" xfId="0" applyFill="1" applyBorder="1" applyProtection="1">
      <protection locked="0"/>
    </xf>
    <xf numFmtId="9" fontId="0" fillId="6" borderId="5" xfId="0" applyNumberFormat="1" applyFill="1" applyBorder="1" applyProtection="1">
      <protection locked="0"/>
    </xf>
    <xf numFmtId="10" fontId="0" fillId="6" borderId="5" xfId="0" applyNumberFormat="1" applyFill="1" applyBorder="1" applyProtection="1">
      <protection locked="0"/>
    </xf>
    <xf numFmtId="9" fontId="0" fillId="6" borderId="5" xfId="0" applyNumberFormat="1" applyFill="1" applyBorder="1"/>
    <xf numFmtId="0" fontId="0" fillId="13" borderId="0" xfId="0" applyFill="1"/>
    <xf numFmtId="0" fontId="8" fillId="2" borderId="5" xfId="0" applyFont="1" applyFill="1" applyBorder="1" applyAlignment="1">
      <alignment horizontal="center"/>
    </xf>
    <xf numFmtId="0" fontId="9" fillId="0" borderId="0" xfId="0" applyNumberFormat="1" applyFont="1" applyAlignment="1">
      <alignment vertical="top" wrapText="1"/>
    </xf>
    <xf numFmtId="0" fontId="0" fillId="0" borderId="0" xfId="0" applyNumberFormat="1" applyAlignment="1">
      <alignment vertical="top" wrapText="1"/>
    </xf>
    <xf numFmtId="0" fontId="0" fillId="0" borderId="26" xfId="0" applyNumberFormat="1" applyBorder="1" applyAlignment="1">
      <alignment vertical="top" wrapText="1"/>
    </xf>
    <xf numFmtId="0" fontId="0" fillId="0" borderId="25" xfId="0" applyNumberFormat="1" applyBorder="1" applyAlignment="1">
      <alignment vertical="top" wrapText="1"/>
    </xf>
    <xf numFmtId="0" fontId="0" fillId="0" borderId="23" xfId="0" applyNumberFormat="1" applyBorder="1" applyAlignment="1">
      <alignment vertical="top" wrapText="1"/>
    </xf>
    <xf numFmtId="0" fontId="0" fillId="0" borderId="29" xfId="0" applyNumberFormat="1" applyBorder="1" applyAlignment="1">
      <alignment vertical="top" wrapText="1"/>
    </xf>
    <xf numFmtId="0" fontId="0" fillId="0" borderId="28" xfId="0" applyNumberFormat="1" applyBorder="1" applyAlignment="1">
      <alignment vertical="top" wrapText="1"/>
    </xf>
    <xf numFmtId="0" fontId="0" fillId="0" borderId="31" xfId="0" applyNumberFormat="1" applyBorder="1" applyAlignment="1">
      <alignment vertical="top" wrapText="1"/>
    </xf>
    <xf numFmtId="0" fontId="0" fillId="0" borderId="32" xfId="0" applyNumberFormat="1" applyBorder="1" applyAlignment="1">
      <alignment vertical="top" wrapText="1"/>
    </xf>
    <xf numFmtId="0" fontId="9"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25" xfId="0" applyNumberFormat="1" applyBorder="1" applyAlignment="1">
      <alignment horizontal="center" vertical="top" wrapText="1"/>
    </xf>
    <xf numFmtId="0" fontId="0" fillId="0" borderId="27" xfId="0" applyNumberFormat="1" applyBorder="1" applyAlignment="1">
      <alignment horizontal="center" vertical="top" wrapText="1"/>
    </xf>
    <xf numFmtId="0" fontId="51" fillId="0" borderId="0" xfId="1" quotePrefix="1" applyNumberFormat="1" applyAlignment="1" applyProtection="1">
      <alignment horizontal="center" vertical="top" wrapText="1"/>
    </xf>
    <xf numFmtId="0" fontId="0" fillId="0" borderId="24" xfId="0" applyNumberFormat="1" applyBorder="1" applyAlignment="1">
      <alignment horizontal="center" vertical="top" wrapText="1"/>
    </xf>
    <xf numFmtId="0" fontId="0" fillId="0" borderId="28" xfId="0" applyNumberFormat="1" applyBorder="1" applyAlignment="1">
      <alignment horizontal="center" vertical="top" wrapText="1"/>
    </xf>
    <xf numFmtId="0" fontId="51" fillId="0" borderId="28" xfId="1" quotePrefix="1" applyNumberFormat="1" applyBorder="1" applyAlignment="1" applyProtection="1">
      <alignment horizontal="center" vertical="top" wrapText="1"/>
    </xf>
    <xf numFmtId="0" fontId="0" fillId="0" borderId="30" xfId="0" applyNumberFormat="1" applyBorder="1" applyAlignment="1">
      <alignment horizontal="center" vertical="top" wrapText="1"/>
    </xf>
    <xf numFmtId="0" fontId="0" fillId="0" borderId="32" xfId="0" applyNumberFormat="1" applyBorder="1" applyAlignment="1">
      <alignment horizontal="center" vertical="top" wrapText="1"/>
    </xf>
    <xf numFmtId="0" fontId="0" fillId="0" borderId="33" xfId="0" applyNumberFormat="1" applyBorder="1" applyAlignment="1">
      <alignment horizontal="center" vertical="top" wrapText="1"/>
    </xf>
    <xf numFmtId="3" fontId="21" fillId="6" borderId="5" xfId="0" applyNumberFormat="1" applyFont="1" applyFill="1" applyBorder="1" applyProtection="1">
      <protection locked="0"/>
    </xf>
    <xf numFmtId="0" fontId="0" fillId="14" borderId="5" xfId="0" applyFill="1" applyBorder="1" applyProtection="1">
      <protection locked="0"/>
    </xf>
    <xf numFmtId="0" fontId="8" fillId="2" borderId="0" xfId="0" applyFont="1" applyFill="1" applyAlignment="1">
      <alignment horizontal="center"/>
    </xf>
    <xf numFmtId="3" fontId="0" fillId="6" borderId="5" xfId="0" applyNumberFormat="1" applyFill="1" applyBorder="1" applyProtection="1">
      <protection locked="0"/>
    </xf>
    <xf numFmtId="0" fontId="0" fillId="4" borderId="0" xfId="0" applyFill="1" applyBorder="1" applyAlignment="1"/>
    <xf numFmtId="0" fontId="64" fillId="17" borderId="12" xfId="0" applyFont="1" applyFill="1" applyBorder="1" applyAlignment="1">
      <alignment vertical="center"/>
    </xf>
    <xf numFmtId="0" fontId="64" fillId="17" borderId="34" xfId="0" applyFont="1" applyFill="1" applyBorder="1" applyAlignment="1">
      <alignment horizontal="center" vertical="center"/>
    </xf>
    <xf numFmtId="0" fontId="64" fillId="19" borderId="34" xfId="0" applyFont="1" applyFill="1" applyBorder="1" applyAlignment="1">
      <alignment horizontal="center" vertical="center"/>
    </xf>
    <xf numFmtId="0" fontId="65" fillId="17" borderId="34" xfId="0" applyFont="1" applyFill="1" applyBorder="1" applyAlignment="1">
      <alignment horizontal="center"/>
    </xf>
    <xf numFmtId="0" fontId="64" fillId="20" borderId="34" xfId="0" applyFont="1" applyFill="1" applyBorder="1" applyAlignment="1">
      <alignment horizontal="center" vertical="center"/>
    </xf>
    <xf numFmtId="0" fontId="67" fillId="0" borderId="34" xfId="0" applyFont="1" applyBorder="1" applyAlignment="1">
      <alignment horizontal="center" vertical="center"/>
    </xf>
    <xf numFmtId="165" fontId="67" fillId="19" borderId="34" xfId="0" applyNumberFormat="1" applyFont="1" applyFill="1" applyBorder="1" applyAlignment="1">
      <alignment horizontal="center" vertical="center"/>
    </xf>
    <xf numFmtId="165" fontId="67" fillId="0" borderId="34" xfId="0" applyNumberFormat="1" applyFont="1" applyBorder="1" applyAlignment="1">
      <alignment horizontal="center" vertical="center"/>
    </xf>
    <xf numFmtId="167" fontId="67" fillId="0" borderId="34" xfId="0" applyNumberFormat="1" applyFont="1" applyBorder="1" applyAlignment="1">
      <alignment horizontal="center" vertical="center"/>
    </xf>
    <xf numFmtId="1" fontId="64" fillId="20" borderId="34" xfId="0" applyNumberFormat="1" applyFont="1" applyFill="1" applyBorder="1" applyAlignment="1">
      <alignment horizontal="center" vertical="center"/>
    </xf>
    <xf numFmtId="168" fontId="67" fillId="19" borderId="34" xfId="0" applyNumberFormat="1" applyFont="1" applyFill="1" applyBorder="1" applyAlignment="1">
      <alignment horizontal="center" vertical="center"/>
    </xf>
    <xf numFmtId="168" fontId="67" fillId="0" borderId="34" xfId="0" applyNumberFormat="1" applyFont="1" applyBorder="1" applyAlignment="1">
      <alignment horizontal="center" vertical="center"/>
    </xf>
    <xf numFmtId="1" fontId="68" fillId="17" borderId="34" xfId="0" applyNumberFormat="1" applyFont="1" applyFill="1" applyBorder="1" applyAlignment="1">
      <alignment horizontal="center" vertical="center"/>
    </xf>
    <xf numFmtId="9" fontId="64" fillId="0" borderId="34" xfId="2" applyFont="1" applyBorder="1" applyAlignment="1">
      <alignment horizontal="center" vertical="center"/>
    </xf>
    <xf numFmtId="168" fontId="68" fillId="19" borderId="34" xfId="0" applyNumberFormat="1" applyFont="1" applyFill="1" applyBorder="1" applyAlignment="1">
      <alignment horizontal="center" vertical="center"/>
    </xf>
    <xf numFmtId="165" fontId="67" fillId="19" borderId="0" xfId="0" applyNumberFormat="1" applyFont="1" applyFill="1" applyAlignment="1">
      <alignment horizontal="center" vertical="center"/>
    </xf>
    <xf numFmtId="168" fontId="67" fillId="19" borderId="0" xfId="0" applyNumberFormat="1" applyFont="1" applyFill="1" applyAlignment="1">
      <alignment horizontal="center" vertical="center"/>
    </xf>
    <xf numFmtId="0" fontId="67" fillId="0" borderId="0" xfId="0" applyFont="1" applyAlignment="1">
      <alignment horizontal="center" vertical="center"/>
    </xf>
    <xf numFmtId="0" fontId="69" fillId="0" borderId="34" xfId="0" applyFont="1" applyBorder="1" applyAlignment="1">
      <alignment horizontal="center" vertical="center"/>
    </xf>
    <xf numFmtId="1" fontId="64" fillId="17" borderId="34" xfId="0" applyNumberFormat="1" applyFont="1" applyFill="1" applyBorder="1" applyAlignment="1">
      <alignment horizontal="center" vertical="center"/>
    </xf>
    <xf numFmtId="165" fontId="67" fillId="0" borderId="0" xfId="0" applyNumberFormat="1" applyFont="1" applyAlignment="1">
      <alignment horizontal="center" vertical="center"/>
    </xf>
    <xf numFmtId="0" fontId="69" fillId="0" borderId="0" xfId="0" applyFont="1" applyAlignment="1">
      <alignment horizontal="center" vertical="center"/>
    </xf>
    <xf numFmtId="0" fontId="21" fillId="0" borderId="0" xfId="0" applyFont="1"/>
    <xf numFmtId="10" fontId="67" fillId="0" borderId="0" xfId="2" applyNumberFormat="1" applyFont="1" applyAlignment="1">
      <alignment horizontal="center" vertical="center"/>
    </xf>
    <xf numFmtId="0" fontId="64" fillId="22" borderId="12" xfId="0" applyFont="1" applyFill="1" applyBorder="1" applyAlignment="1">
      <alignment vertical="center"/>
    </xf>
    <xf numFmtId="0" fontId="64" fillId="22" borderId="34" xfId="0" applyFont="1" applyFill="1" applyBorder="1" applyAlignment="1">
      <alignment horizontal="center" vertical="center"/>
    </xf>
    <xf numFmtId="0" fontId="64" fillId="14" borderId="12" xfId="0" applyFont="1" applyFill="1" applyBorder="1" applyAlignment="1">
      <alignment vertical="center"/>
    </xf>
    <xf numFmtId="0" fontId="64" fillId="14" borderId="34" xfId="0" applyFont="1" applyFill="1" applyBorder="1" applyAlignment="1">
      <alignment horizontal="center" vertical="center"/>
    </xf>
    <xf numFmtId="0" fontId="65" fillId="14" borderId="34" xfId="0" applyFont="1" applyFill="1" applyBorder="1" applyAlignment="1">
      <alignment horizontal="center"/>
    </xf>
    <xf numFmtId="0" fontId="0" fillId="14" borderId="37" xfId="0" applyFill="1" applyBorder="1" applyProtection="1">
      <protection locked="0"/>
    </xf>
    <xf numFmtId="0" fontId="21" fillId="0" borderId="1" xfId="0" applyFont="1" applyBorder="1"/>
    <xf numFmtId="1" fontId="0" fillId="0" borderId="6" xfId="0" applyNumberFormat="1" applyBorder="1"/>
    <xf numFmtId="1" fontId="0" fillId="0" borderId="11" xfId="0" applyNumberFormat="1" applyBorder="1"/>
    <xf numFmtId="0" fontId="21" fillId="0" borderId="4" xfId="0" applyFont="1" applyBorder="1"/>
    <xf numFmtId="0" fontId="21" fillId="0" borderId="10" xfId="0" applyFont="1" applyBorder="1"/>
    <xf numFmtId="0" fontId="0" fillId="13" borderId="0" xfId="0" applyFill="1" applyProtection="1"/>
    <xf numFmtId="0" fontId="10" fillId="2" borderId="0" xfId="0" applyFont="1" applyFill="1" applyProtection="1"/>
    <xf numFmtId="0" fontId="8" fillId="2" borderId="0" xfId="0" applyFont="1" applyFill="1" applyAlignment="1" applyProtection="1">
      <alignment horizontal="center"/>
    </xf>
    <xf numFmtId="0" fontId="8" fillId="2" borderId="7" xfId="0" applyFont="1" applyFill="1" applyBorder="1" applyAlignment="1" applyProtection="1">
      <alignment horizontal="center"/>
    </xf>
    <xf numFmtId="0" fontId="8" fillId="2" borderId="0" xfId="0" applyFont="1" applyFill="1" applyProtection="1"/>
    <xf numFmtId="0" fontId="6" fillId="2" borderId="0" xfId="0" applyFont="1" applyFill="1" applyProtection="1"/>
    <xf numFmtId="0" fontId="8" fillId="2" borderId="7" xfId="0" applyFont="1" applyFill="1" applyBorder="1" applyProtection="1"/>
    <xf numFmtId="0" fontId="8" fillId="2" borderId="8" xfId="0" applyFont="1" applyFill="1" applyBorder="1" applyAlignment="1" applyProtection="1">
      <alignment horizontal="center"/>
    </xf>
    <xf numFmtId="0" fontId="3" fillId="13" borderId="0" xfId="0" applyFont="1" applyFill="1" applyProtection="1"/>
    <xf numFmtId="49" fontId="8" fillId="2" borderId="8" xfId="0" applyNumberFormat="1" applyFont="1" applyFill="1" applyBorder="1" applyAlignment="1" applyProtection="1">
      <alignment horizontal="center"/>
    </xf>
    <xf numFmtId="0" fontId="3" fillId="2" borderId="0" xfId="0" applyFont="1" applyFill="1" applyProtection="1"/>
    <xf numFmtId="0" fontId="0" fillId="2" borderId="0" xfId="0" applyFill="1" applyProtection="1"/>
    <xf numFmtId="0" fontId="8" fillId="2" borderId="5" xfId="0" applyFont="1" applyFill="1" applyBorder="1" applyAlignment="1" applyProtection="1">
      <alignment horizontal="center"/>
    </xf>
    <xf numFmtId="0" fontId="0" fillId="0" borderId="0" xfId="0" applyProtection="1"/>
    <xf numFmtId="0" fontId="0" fillId="4" borderId="1" xfId="0" applyFill="1" applyBorder="1" applyProtection="1"/>
    <xf numFmtId="0" fontId="0" fillId="4" borderId="2" xfId="0" applyFill="1" applyBorder="1" applyProtection="1"/>
    <xf numFmtId="0" fontId="9" fillId="4" borderId="4" xfId="0" applyFont="1" applyFill="1" applyBorder="1" applyProtection="1"/>
    <xf numFmtId="0" fontId="0" fillId="0" borderId="0" xfId="0" applyBorder="1" applyProtection="1"/>
    <xf numFmtId="0" fontId="0" fillId="4" borderId="4" xfId="0" applyFill="1" applyBorder="1" applyProtection="1"/>
    <xf numFmtId="0" fontId="11" fillId="4" borderId="4" xfId="0" applyFont="1" applyFill="1" applyBorder="1" applyProtection="1"/>
    <xf numFmtId="0" fontId="9" fillId="4" borderId="0" xfId="0" applyFont="1" applyFill="1" applyBorder="1" applyProtection="1"/>
    <xf numFmtId="0" fontId="14" fillId="4" borderId="4" xfId="0" applyFont="1" applyFill="1" applyBorder="1" applyProtection="1"/>
    <xf numFmtId="0" fontId="16" fillId="4" borderId="0" xfId="0" applyFont="1" applyFill="1" applyBorder="1" applyAlignment="1" applyProtection="1">
      <alignment vertical="center"/>
    </xf>
    <xf numFmtId="0" fontId="0" fillId="4" borderId="0" xfId="0" applyFill="1" applyBorder="1" applyAlignment="1" applyProtection="1"/>
    <xf numFmtId="0" fontId="0" fillId="4" borderId="6" xfId="0" applyFill="1" applyBorder="1" applyAlignment="1" applyProtection="1"/>
    <xf numFmtId="0" fontId="17" fillId="4" borderId="4" xfId="0" applyFont="1" applyFill="1" applyBorder="1" applyProtection="1"/>
    <xf numFmtId="0" fontId="19" fillId="4" borderId="4" xfId="0" applyFont="1" applyFill="1" applyBorder="1" applyProtection="1"/>
    <xf numFmtId="0" fontId="9" fillId="4" borderId="0" xfId="0" applyFont="1" applyFill="1" applyBorder="1" applyAlignment="1" applyProtection="1">
      <alignment horizontal="left"/>
    </xf>
    <xf numFmtId="0" fontId="9" fillId="4" borderId="7" xfId="0" applyFont="1" applyFill="1" applyBorder="1" applyProtection="1"/>
    <xf numFmtId="0" fontId="9" fillId="4" borderId="0" xfId="0" applyFont="1" applyFill="1" applyBorder="1" applyAlignment="1" applyProtection="1">
      <alignment horizontal="center"/>
    </xf>
    <xf numFmtId="0" fontId="56" fillId="4" borderId="0" xfId="0" applyFont="1" applyFill="1" applyBorder="1" applyProtection="1"/>
    <xf numFmtId="0" fontId="30" fillId="4" borderId="0" xfId="0" applyFont="1" applyFill="1" applyBorder="1" applyAlignment="1" applyProtection="1"/>
    <xf numFmtId="0" fontId="9" fillId="4" borderId="4" xfId="0" quotePrefix="1" applyFont="1" applyFill="1" applyBorder="1" applyAlignment="1" applyProtection="1"/>
    <xf numFmtId="0" fontId="9" fillId="4" borderId="0" xfId="0" applyFont="1" applyFill="1" applyBorder="1" applyAlignment="1" applyProtection="1">
      <alignment horizontal="center" vertical="center"/>
    </xf>
    <xf numFmtId="0" fontId="0" fillId="4" borderId="0" xfId="0" applyFill="1" applyProtection="1"/>
    <xf numFmtId="0" fontId="0" fillId="0" borderId="1" xfId="0" applyFill="1" applyBorder="1"/>
    <xf numFmtId="0" fontId="0" fillId="0" borderId="2" xfId="0" applyFill="1" applyBorder="1" applyProtection="1">
      <protection locked="0"/>
    </xf>
    <xf numFmtId="0" fontId="0" fillId="0" borderId="2" xfId="0" applyBorder="1" applyProtection="1">
      <protection locked="0"/>
    </xf>
    <xf numFmtId="0" fontId="0" fillId="0" borderId="3" xfId="0" applyBorder="1" applyProtection="1">
      <protection locked="0"/>
    </xf>
    <xf numFmtId="0" fontId="0" fillId="0" borderId="4" xfId="0" applyFill="1" applyBorder="1"/>
    <xf numFmtId="0" fontId="0" fillId="0" borderId="0" xfId="0" applyFill="1" applyBorder="1" applyProtection="1">
      <protection locked="0"/>
    </xf>
    <xf numFmtId="1" fontId="0" fillId="0" borderId="0" xfId="0" applyNumberFormat="1" applyFill="1" applyBorder="1" applyProtection="1">
      <protection locked="0"/>
    </xf>
    <xf numFmtId="0" fontId="0" fillId="0" borderId="6" xfId="0" applyBorder="1" applyProtection="1">
      <protection locked="0"/>
    </xf>
    <xf numFmtId="0" fontId="0" fillId="0" borderId="0" xfId="0" applyBorder="1" applyProtection="1">
      <protection locked="0"/>
    </xf>
    <xf numFmtId="0" fontId="28" fillId="0" borderId="0" xfId="0" applyFont="1" applyBorder="1" applyProtection="1">
      <protection locked="0"/>
    </xf>
    <xf numFmtId="0" fontId="27" fillId="0" borderId="0" xfId="0" applyFont="1" applyFill="1" applyBorder="1" applyProtection="1">
      <protection locked="0"/>
    </xf>
    <xf numFmtId="1" fontId="0" fillId="0" borderId="0" xfId="0" applyNumberFormat="1" applyBorder="1" applyProtection="1">
      <protection locked="0"/>
    </xf>
    <xf numFmtId="0" fontId="21" fillId="9" borderId="0" xfId="0" applyFont="1" applyFill="1" applyBorder="1" applyProtection="1">
      <protection locked="0"/>
    </xf>
    <xf numFmtId="0" fontId="0" fillId="9" borderId="0" xfId="0" applyFill="1" applyBorder="1" applyProtection="1">
      <protection locked="0"/>
    </xf>
    <xf numFmtId="3" fontId="0" fillId="9" borderId="0" xfId="0" applyNumberFormat="1" applyFill="1" applyBorder="1" applyProtection="1">
      <protection locked="0"/>
    </xf>
    <xf numFmtId="3" fontId="0" fillId="0" borderId="0" xfId="0" applyNumberFormat="1" applyBorder="1" applyProtection="1">
      <protection locked="0"/>
    </xf>
    <xf numFmtId="0" fontId="7" fillId="0" borderId="0" xfId="0" applyFont="1" applyFill="1" applyBorder="1" applyProtection="1">
      <protection locked="0"/>
    </xf>
    <xf numFmtId="0" fontId="0" fillId="6" borderId="0" xfId="0" applyFill="1" applyBorder="1" applyProtection="1">
      <protection locked="0"/>
    </xf>
    <xf numFmtId="0" fontId="30" fillId="6" borderId="0" xfId="0" applyFont="1" applyFill="1" applyBorder="1" applyProtection="1">
      <protection locked="0"/>
    </xf>
    <xf numFmtId="3" fontId="0" fillId="6" borderId="0" xfId="0" applyNumberFormat="1" applyFill="1" applyBorder="1" applyProtection="1">
      <protection locked="0"/>
    </xf>
    <xf numFmtId="0" fontId="3" fillId="0" borderId="0" xfId="0" applyFont="1" applyBorder="1" applyProtection="1">
      <protection locked="0"/>
    </xf>
    <xf numFmtId="0" fontId="0" fillId="0" borderId="7" xfId="0" applyBorder="1" applyProtection="1">
      <protection locked="0"/>
    </xf>
    <xf numFmtId="0" fontId="3" fillId="0" borderId="7" xfId="0" applyFont="1" applyBorder="1" applyProtection="1">
      <protection locked="0"/>
    </xf>
    <xf numFmtId="0" fontId="0" fillId="0" borderId="11" xfId="0" applyBorder="1" applyProtection="1">
      <protection locked="0"/>
    </xf>
    <xf numFmtId="0" fontId="0" fillId="9" borderId="4" xfId="0" applyFill="1" applyBorder="1" applyProtection="1">
      <protection locked="0"/>
    </xf>
    <xf numFmtId="0" fontId="28" fillId="9" borderId="0" xfId="0" applyFont="1" applyFill="1" applyBorder="1" applyProtection="1">
      <protection locked="0"/>
    </xf>
    <xf numFmtId="0" fontId="0" fillId="0" borderId="4" xfId="0" applyBorder="1" applyProtection="1">
      <protection locked="0"/>
    </xf>
    <xf numFmtId="0" fontId="0" fillId="6" borderId="4" xfId="0" applyFill="1" applyBorder="1" applyProtection="1">
      <protection locked="0"/>
    </xf>
    <xf numFmtId="0" fontId="28" fillId="6" borderId="0" xfId="0" applyFont="1" applyFill="1" applyBorder="1" applyProtection="1">
      <protection locked="0"/>
    </xf>
    <xf numFmtId="0" fontId="0" fillId="0" borderId="1" xfId="0" applyBorder="1" applyProtection="1">
      <protection locked="0"/>
    </xf>
    <xf numFmtId="1" fontId="0" fillId="0" borderId="2" xfId="0" applyNumberFormat="1" applyBorder="1" applyProtection="1">
      <protection locked="0"/>
    </xf>
    <xf numFmtId="3" fontId="0" fillId="9" borderId="6" xfId="0" applyNumberFormat="1" applyFill="1" applyBorder="1" applyProtection="1">
      <protection locked="0"/>
    </xf>
    <xf numFmtId="3" fontId="0" fillId="0" borderId="6" xfId="0" applyNumberFormat="1" applyBorder="1" applyProtection="1">
      <protection locked="0"/>
    </xf>
    <xf numFmtId="3" fontId="0" fillId="6" borderId="6" xfId="0" applyNumberFormat="1" applyFill="1" applyBorder="1" applyProtection="1">
      <protection locked="0"/>
    </xf>
    <xf numFmtId="0" fontId="21" fillId="0" borderId="8" xfId="0" applyFont="1" applyBorder="1" applyAlignment="1" applyProtection="1">
      <protection locked="0"/>
    </xf>
    <xf numFmtId="0" fontId="0" fillId="0" borderId="15" xfId="0" applyBorder="1" applyAlignment="1" applyProtection="1">
      <protection locked="0"/>
    </xf>
    <xf numFmtId="0" fontId="21" fillId="0" borderId="15" xfId="0" applyFont="1" applyBorder="1" applyAlignment="1" applyProtection="1">
      <alignment horizontal="center"/>
      <protection locked="0"/>
    </xf>
    <xf numFmtId="0" fontId="21" fillId="0" borderId="16" xfId="0" applyFont="1" applyBorder="1" applyAlignment="1" applyProtection="1">
      <alignment horizontal="center"/>
      <protection locked="0"/>
    </xf>
    <xf numFmtId="0" fontId="21" fillId="0" borderId="1" xfId="0" applyFont="1" applyBorder="1" applyProtection="1">
      <protection locked="0"/>
    </xf>
    <xf numFmtId="0" fontId="21" fillId="0" borderId="4" xfId="0" applyFont="1" applyBorder="1" applyProtection="1">
      <protection locked="0"/>
    </xf>
    <xf numFmtId="0" fontId="21" fillId="0" borderId="10" xfId="0" applyFont="1" applyBorder="1" applyProtection="1">
      <protection locked="0"/>
    </xf>
    <xf numFmtId="1" fontId="0" fillId="0" borderId="7" xfId="0" applyNumberFormat="1" applyBorder="1" applyProtection="1">
      <protection locked="0"/>
    </xf>
    <xf numFmtId="0" fontId="21" fillId="0" borderId="0" xfId="0" applyFont="1" applyBorder="1" applyProtection="1">
      <protection locked="0"/>
    </xf>
    <xf numFmtId="0" fontId="0" fillId="0" borderId="8" xfId="0" applyBorder="1" applyProtection="1">
      <protection locked="0"/>
    </xf>
    <xf numFmtId="0" fontId="0" fillId="0" borderId="15" xfId="0" applyBorder="1" applyProtection="1">
      <protection locked="0"/>
    </xf>
    <xf numFmtId="0" fontId="0" fillId="0" borderId="16" xfId="0" applyBorder="1" applyProtection="1">
      <protection locked="0"/>
    </xf>
    <xf numFmtId="0" fontId="34" fillId="4" borderId="4" xfId="0" applyFont="1" applyFill="1" applyBorder="1" applyAlignment="1">
      <alignment vertical="center"/>
    </xf>
    <xf numFmtId="0" fontId="35" fillId="0" borderId="4" xfId="0" applyFont="1" applyBorder="1" applyAlignment="1">
      <alignment vertical="center"/>
    </xf>
    <xf numFmtId="0" fontId="1" fillId="4" borderId="8" xfId="0" applyFont="1" applyFill="1" applyBorder="1" applyAlignment="1" applyProtection="1">
      <alignment horizontal="center"/>
      <protection locked="0"/>
    </xf>
    <xf numFmtId="0" fontId="1" fillId="4" borderId="15" xfId="0" applyFont="1" applyFill="1" applyBorder="1" applyAlignment="1" applyProtection="1">
      <alignment horizontal="center"/>
      <protection locked="0"/>
    </xf>
    <xf numFmtId="0" fontId="0" fillId="0" borderId="15" xfId="0" applyBorder="1" applyAlignment="1">
      <alignment horizontal="center"/>
    </xf>
    <xf numFmtId="0" fontId="1" fillId="4" borderId="16" xfId="0" applyFont="1" applyFill="1" applyBorder="1" applyAlignment="1" applyProtection="1">
      <alignment horizontal="center"/>
      <protection locked="0"/>
    </xf>
    <xf numFmtId="0" fontId="0" fillId="0" borderId="15" xfId="0" applyBorder="1" applyAlignment="1" applyProtection="1">
      <alignment horizontal="center"/>
      <protection locked="0"/>
    </xf>
    <xf numFmtId="0" fontId="2" fillId="5" borderId="8" xfId="0" applyFont="1" applyFill="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36" fillId="4" borderId="4" xfId="0" applyFont="1" applyFill="1" applyBorder="1" applyAlignment="1">
      <alignment horizontal="center"/>
    </xf>
    <xf numFmtId="0" fontId="38" fillId="0" borderId="0" xfId="0" applyFont="1" applyAlignment="1">
      <alignment horizontal="center"/>
    </xf>
    <xf numFmtId="0" fontId="42" fillId="4" borderId="0" xfId="0" applyFont="1" applyFill="1" applyBorder="1" applyAlignment="1">
      <alignment vertical="center"/>
    </xf>
    <xf numFmtId="0" fontId="9" fillId="4" borderId="4" xfId="0" applyFont="1" applyFill="1" applyBorder="1" applyAlignment="1">
      <alignment vertical="center"/>
    </xf>
    <xf numFmtId="0" fontId="0" fillId="0" borderId="0" xfId="0" applyAlignment="1">
      <alignment vertical="center"/>
    </xf>
    <xf numFmtId="0" fontId="38" fillId="4" borderId="0" xfId="0" applyFont="1" applyFill="1" applyBorder="1" applyAlignment="1"/>
    <xf numFmtId="0" fontId="38" fillId="0" borderId="0" xfId="0" applyFont="1" applyAlignment="1"/>
    <xf numFmtId="0" fontId="23" fillId="4" borderId="4" xfId="0" applyFont="1" applyFill="1" applyBorder="1" applyAlignment="1" applyProtection="1"/>
    <xf numFmtId="0" fontId="0" fillId="0" borderId="0" xfId="0" applyAlignment="1" applyProtection="1"/>
    <xf numFmtId="0" fontId="26" fillId="4" borderId="0" xfId="0" applyFont="1" applyFill="1" applyBorder="1" applyAlignment="1" applyProtection="1">
      <alignment horizontal="left"/>
      <protection locked="0"/>
    </xf>
    <xf numFmtId="0" fontId="0" fillId="0" borderId="0" xfId="0" applyBorder="1" applyAlignment="1" applyProtection="1">
      <alignment horizontal="left"/>
      <protection locked="0"/>
    </xf>
    <xf numFmtId="0" fontId="29" fillId="6" borderId="8" xfId="0" applyFont="1" applyFill="1" applyBorder="1" applyAlignment="1">
      <alignment horizontal="center"/>
    </xf>
    <xf numFmtId="0" fontId="29" fillId="6" borderId="15" xfId="0" applyFont="1" applyFill="1" applyBorder="1" applyAlignment="1">
      <alignment horizontal="center"/>
    </xf>
    <xf numFmtId="0" fontId="29" fillId="6" borderId="16" xfId="0" applyFont="1" applyFill="1" applyBorder="1" applyAlignment="1">
      <alignment horizontal="center"/>
    </xf>
    <xf numFmtId="0" fontId="20" fillId="4" borderId="4" xfId="0" applyFont="1" applyFill="1" applyBorder="1" applyAlignment="1">
      <alignment vertical="center"/>
    </xf>
    <xf numFmtId="0" fontId="21" fillId="0" borderId="4" xfId="0" applyFont="1" applyBorder="1" applyAlignment="1">
      <alignment vertical="center"/>
    </xf>
    <xf numFmtId="0" fontId="0" fillId="4" borderId="0" xfId="0" applyFill="1" applyBorder="1" applyAlignment="1"/>
    <xf numFmtId="0" fontId="0" fillId="0" borderId="0" xfId="0" applyAlignment="1"/>
    <xf numFmtId="0" fontId="20" fillId="4" borderId="8" xfId="0" applyFont="1" applyFill="1" applyBorder="1" applyAlignment="1">
      <alignment horizontal="center"/>
    </xf>
    <xf numFmtId="0" fontId="0" fillId="0" borderId="16" xfId="0" applyBorder="1" applyAlignment="1">
      <alignment horizontal="center"/>
    </xf>
    <xf numFmtId="0" fontId="26" fillId="0" borderId="0" xfId="0" applyFont="1" applyBorder="1" applyAlignment="1" applyProtection="1">
      <alignment horizontal="center"/>
      <protection locked="0"/>
    </xf>
    <xf numFmtId="0" fontId="31" fillId="0" borderId="0" xfId="0" applyFont="1" applyBorder="1" applyAlignment="1" applyProtection="1">
      <alignment horizontal="center"/>
      <protection locked="0"/>
    </xf>
    <xf numFmtId="0" fontId="7" fillId="2" borderId="0" xfId="0" applyFont="1" applyFill="1" applyAlignment="1">
      <alignment horizontal="center"/>
    </xf>
    <xf numFmtId="0" fontId="0" fillId="4" borderId="4" xfId="0" applyFill="1" applyBorder="1" applyAlignment="1">
      <alignment horizontal="center"/>
    </xf>
    <xf numFmtId="0" fontId="0" fillId="4" borderId="0" xfId="0" applyFill="1" applyBorder="1" applyAlignment="1">
      <alignment horizontal="center"/>
    </xf>
    <xf numFmtId="0" fontId="26" fillId="6" borderId="8" xfId="0" applyFont="1" applyFill="1" applyBorder="1" applyAlignment="1" applyProtection="1">
      <alignment horizontal="left"/>
      <protection locked="0"/>
    </xf>
    <xf numFmtId="0" fontId="0" fillId="6" borderId="15" xfId="0" applyFill="1" applyBorder="1" applyAlignment="1" applyProtection="1">
      <alignment horizontal="left"/>
      <protection locked="0"/>
    </xf>
    <xf numFmtId="0" fontId="0" fillId="6" borderId="16" xfId="0" applyFill="1" applyBorder="1" applyAlignment="1" applyProtection="1">
      <alignment horizontal="left"/>
      <protection locked="0"/>
    </xf>
    <xf numFmtId="0" fontId="7" fillId="12" borderId="8" xfId="0" applyFont="1" applyFill="1" applyBorder="1" applyAlignment="1">
      <alignment horizontal="center"/>
    </xf>
    <xf numFmtId="0" fontId="7" fillId="12" borderId="15" xfId="0" applyFont="1" applyFill="1" applyBorder="1" applyAlignment="1">
      <alignment horizontal="center"/>
    </xf>
    <xf numFmtId="0" fontId="7" fillId="12" borderId="16" xfId="0" applyFont="1" applyFill="1" applyBorder="1" applyAlignment="1">
      <alignment horizontal="center"/>
    </xf>
    <xf numFmtId="0" fontId="9" fillId="4" borderId="2" xfId="0" applyFont="1" applyFill="1" applyBorder="1" applyAlignment="1" applyProtection="1">
      <alignment horizontal="center"/>
    </xf>
    <xf numFmtId="0" fontId="21" fillId="4" borderId="0" xfId="0" applyFont="1" applyFill="1" applyBorder="1" applyAlignment="1" applyProtection="1">
      <alignment horizontal="center"/>
    </xf>
    <xf numFmtId="0" fontId="59" fillId="15" borderId="8" xfId="0" applyFont="1" applyFill="1" applyBorder="1" applyAlignment="1">
      <alignment horizontal="center" vertical="center"/>
    </xf>
    <xf numFmtId="0" fontId="60" fillId="15" borderId="15" xfId="0" applyFont="1" applyFill="1" applyBorder="1" applyAlignment="1">
      <alignment horizontal="center" vertical="center"/>
    </xf>
    <xf numFmtId="0" fontId="60" fillId="15" borderId="16" xfId="0" applyFont="1" applyFill="1" applyBorder="1" applyAlignment="1">
      <alignment horizontal="center" vertical="center"/>
    </xf>
    <xf numFmtId="0" fontId="11" fillId="4" borderId="4" xfId="0" applyFont="1" applyFill="1" applyBorder="1" applyAlignment="1" applyProtection="1">
      <alignment horizontal="center"/>
    </xf>
    <xf numFmtId="0" fontId="0" fillId="0" borderId="0" xfId="0" applyAlignment="1" applyProtection="1">
      <alignment horizontal="center"/>
    </xf>
    <xf numFmtId="0" fontId="63" fillId="4" borderId="0" xfId="1" applyFont="1" applyFill="1" applyBorder="1" applyAlignment="1" applyProtection="1">
      <alignment horizontal="center"/>
    </xf>
    <xf numFmtId="0" fontId="5" fillId="4" borderId="6" xfId="0" applyFont="1" applyFill="1" applyBorder="1" applyAlignment="1" applyProtection="1">
      <alignment horizontal="center"/>
    </xf>
    <xf numFmtId="0" fontId="31" fillId="6" borderId="15" xfId="0" applyFont="1" applyFill="1" applyBorder="1" applyAlignment="1" applyProtection="1">
      <alignment horizontal="left"/>
      <protection locked="0"/>
    </xf>
    <xf numFmtId="0" fontId="31" fillId="6" borderId="16" xfId="0" applyFont="1" applyFill="1" applyBorder="1" applyAlignment="1" applyProtection="1">
      <alignment horizontal="left"/>
      <protection locked="0"/>
    </xf>
    <xf numFmtId="0" fontId="20" fillId="6" borderId="17" xfId="0" applyFont="1" applyFill="1" applyBorder="1" applyAlignment="1">
      <alignment horizontal="center" vertical="center" wrapText="1"/>
    </xf>
    <xf numFmtId="0" fontId="20" fillId="6" borderId="18" xfId="0" applyFont="1" applyFill="1" applyBorder="1" applyAlignment="1">
      <alignment horizontal="center" vertical="center" wrapText="1"/>
    </xf>
    <xf numFmtId="0" fontId="20" fillId="6" borderId="19" xfId="0" applyFont="1" applyFill="1" applyBorder="1" applyAlignment="1">
      <alignment horizontal="center" vertical="center" wrapText="1"/>
    </xf>
    <xf numFmtId="0" fontId="20" fillId="6" borderId="20" xfId="0" applyFont="1" applyFill="1"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50" fillId="12" borderId="4" xfId="0" applyFont="1" applyFill="1" applyBorder="1" applyAlignment="1">
      <alignment horizontal="center"/>
    </xf>
    <xf numFmtId="0" fontId="50" fillId="12" borderId="0" xfId="0" applyFont="1" applyFill="1" applyBorder="1" applyAlignment="1">
      <alignment horizontal="center"/>
    </xf>
    <xf numFmtId="0" fontId="21" fillId="4" borderId="0" xfId="0" applyFont="1" applyFill="1" applyBorder="1" applyAlignment="1" applyProtection="1"/>
    <xf numFmtId="0" fontId="0" fillId="4" borderId="0" xfId="0" applyFill="1" applyBorder="1" applyAlignment="1" applyProtection="1"/>
    <xf numFmtId="0" fontId="20" fillId="4" borderId="4" xfId="0" applyFont="1" applyFill="1" applyBorder="1" applyAlignment="1" applyProtection="1">
      <alignment vertical="center"/>
    </xf>
    <xf numFmtId="0" fontId="21" fillId="0" borderId="4" xfId="0" applyFont="1" applyBorder="1" applyAlignment="1" applyProtection="1">
      <alignment vertical="center"/>
    </xf>
    <xf numFmtId="0" fontId="16" fillId="4" borderId="0" xfId="0" applyFont="1" applyFill="1" applyBorder="1" applyAlignment="1" applyProtection="1">
      <alignment vertical="center"/>
    </xf>
    <xf numFmtId="0" fontId="7" fillId="2" borderId="0" xfId="0" applyFont="1" applyFill="1" applyAlignment="1" applyProtection="1">
      <alignment horizontal="center"/>
    </xf>
    <xf numFmtId="0" fontId="21" fillId="0" borderId="0" xfId="0" applyFont="1" applyAlignment="1" applyProtection="1">
      <alignment horizontal="center"/>
    </xf>
    <xf numFmtId="0" fontId="0" fillId="4" borderId="0" xfId="0" applyFill="1" applyBorder="1" applyAlignment="1" applyProtection="1">
      <alignment horizontal="center"/>
    </xf>
    <xf numFmtId="0" fontId="21" fillId="0" borderId="0" xfId="0" applyFont="1" applyBorder="1" applyAlignment="1" applyProtection="1">
      <alignment horizontal="center"/>
      <protection locked="0"/>
    </xf>
    <xf numFmtId="0" fontId="0" fillId="0" borderId="0" xfId="0" applyBorder="1" applyAlignment="1" applyProtection="1">
      <alignment horizontal="center"/>
      <protection locked="0"/>
    </xf>
    <xf numFmtId="0" fontId="21" fillId="16" borderId="0" xfId="0" applyFont="1" applyFill="1" applyAlignment="1" applyProtection="1">
      <alignment horizontal="center"/>
    </xf>
    <xf numFmtId="0" fontId="0" fillId="16" borderId="0" xfId="0" applyFill="1" applyAlignment="1" applyProtection="1">
      <alignment horizontal="center"/>
    </xf>
    <xf numFmtId="0" fontId="71" fillId="16" borderId="12" xfId="0" applyFont="1" applyFill="1" applyBorder="1" applyAlignment="1" applyProtection="1">
      <alignment horizontal="center" vertical="center"/>
    </xf>
    <xf numFmtId="0" fontId="71" fillId="16" borderId="13" xfId="0" applyFont="1" applyFill="1" applyBorder="1" applyAlignment="1" applyProtection="1">
      <alignment horizontal="center" vertical="center"/>
    </xf>
    <xf numFmtId="0" fontId="71" fillId="16" borderId="14" xfId="0" applyFont="1" applyFill="1" applyBorder="1" applyAlignment="1" applyProtection="1">
      <alignment horizontal="center" vertical="center"/>
    </xf>
    <xf numFmtId="0" fontId="71" fillId="16" borderId="17" xfId="0" applyFont="1" applyFill="1" applyBorder="1" applyAlignment="1" applyProtection="1">
      <alignment horizontal="center" vertical="center"/>
    </xf>
    <xf numFmtId="0" fontId="71" fillId="16" borderId="35" xfId="0" applyFont="1" applyFill="1" applyBorder="1" applyAlignment="1" applyProtection="1">
      <alignment horizontal="center" vertical="center"/>
    </xf>
    <xf numFmtId="0" fontId="71" fillId="16" borderId="18" xfId="0" applyFont="1" applyFill="1" applyBorder="1" applyAlignment="1" applyProtection="1">
      <alignment horizontal="center" vertical="center"/>
    </xf>
    <xf numFmtId="0" fontId="71" fillId="16" borderId="21" xfId="0" applyFont="1" applyFill="1" applyBorder="1" applyAlignment="1" applyProtection="1">
      <alignment horizontal="center" vertical="center"/>
    </xf>
    <xf numFmtId="0" fontId="71" fillId="16" borderId="36" xfId="0" applyFont="1" applyFill="1" applyBorder="1" applyAlignment="1" applyProtection="1">
      <alignment horizontal="center" vertical="center"/>
    </xf>
    <xf numFmtId="0" fontId="71" fillId="16" borderId="22" xfId="0" applyFont="1" applyFill="1" applyBorder="1" applyAlignment="1" applyProtection="1">
      <alignment horizontal="center" vertical="center"/>
    </xf>
    <xf numFmtId="0" fontId="64" fillId="17" borderId="12" xfId="0" applyFont="1" applyFill="1" applyBorder="1" applyAlignment="1">
      <alignment horizontal="center" vertical="center"/>
    </xf>
    <xf numFmtId="0" fontId="64" fillId="17" borderId="13" xfId="0" applyFont="1" applyFill="1" applyBorder="1" applyAlignment="1">
      <alignment horizontal="center" vertical="center"/>
    </xf>
    <xf numFmtId="0" fontId="64" fillId="17" borderId="14" xfId="0" applyFont="1" applyFill="1" applyBorder="1" applyAlignment="1">
      <alignment horizontal="center" vertical="center"/>
    </xf>
    <xf numFmtId="0" fontId="70" fillId="0" borderId="0" xfId="0" applyFont="1" applyAlignment="1">
      <alignment horizontal="center"/>
    </xf>
    <xf numFmtId="0" fontId="64" fillId="22" borderId="12" xfId="0" applyFont="1" applyFill="1" applyBorder="1" applyAlignment="1">
      <alignment horizontal="center" vertical="center"/>
    </xf>
    <xf numFmtId="0" fontId="64" fillId="22" borderId="13" xfId="0" applyFont="1" applyFill="1" applyBorder="1" applyAlignment="1">
      <alignment horizontal="center" vertical="center"/>
    </xf>
    <xf numFmtId="0" fontId="64" fillId="22" borderId="14" xfId="0" applyFont="1" applyFill="1" applyBorder="1" applyAlignment="1">
      <alignment horizontal="center" vertical="center"/>
    </xf>
    <xf numFmtId="0" fontId="64" fillId="18" borderId="12" xfId="0" applyFont="1" applyFill="1" applyBorder="1" applyAlignment="1">
      <alignment horizontal="center" vertical="center"/>
    </xf>
    <xf numFmtId="0" fontId="64" fillId="18" borderId="13" xfId="0" applyFont="1" applyFill="1" applyBorder="1" applyAlignment="1">
      <alignment horizontal="center" vertical="center"/>
    </xf>
    <xf numFmtId="0" fontId="64" fillId="18" borderId="14" xfId="0" applyFont="1" applyFill="1" applyBorder="1" applyAlignment="1">
      <alignment horizontal="center" vertical="center"/>
    </xf>
    <xf numFmtId="0" fontId="64" fillId="21" borderId="12" xfId="0" applyFont="1" applyFill="1" applyBorder="1" applyAlignment="1">
      <alignment horizontal="center" vertical="center"/>
    </xf>
    <xf numFmtId="0" fontId="64" fillId="21" borderId="13" xfId="0" applyFont="1" applyFill="1" applyBorder="1" applyAlignment="1">
      <alignment horizontal="center" vertical="center"/>
    </xf>
    <xf numFmtId="0" fontId="64" fillId="21" borderId="14" xfId="0" applyFont="1" applyFill="1" applyBorder="1" applyAlignment="1">
      <alignment horizontal="center" vertical="center"/>
    </xf>
    <xf numFmtId="0" fontId="64" fillId="14" borderId="12" xfId="0" applyFont="1" applyFill="1" applyBorder="1" applyAlignment="1">
      <alignment horizontal="center" vertical="center"/>
    </xf>
    <xf numFmtId="0" fontId="64" fillId="14" borderId="13" xfId="0" applyFont="1" applyFill="1" applyBorder="1" applyAlignment="1">
      <alignment horizontal="center" vertical="center"/>
    </xf>
    <xf numFmtId="0" fontId="64" fillId="14" borderId="14" xfId="0" applyFont="1" applyFill="1" applyBorder="1" applyAlignment="1">
      <alignment horizontal="center" vertical="center"/>
    </xf>
  </cellXfs>
  <cellStyles count="3">
    <cellStyle name="Hyperlink" xfId="1" builtinId="8"/>
    <cellStyle name="Normal" xfId="0" builtinId="0"/>
    <cellStyle name="Percent" xfId="2"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Drop" dropLines="10" dropStyle="combo" dx="22" fmlaLink="$P$42" fmlaRange="$P$9:$P$30" sel="12" val="10"/>
</file>

<file path=xl/ctrlProps/ctrlProp10.xml><?xml version="1.0" encoding="utf-8"?>
<formControlPr xmlns="http://schemas.microsoft.com/office/spreadsheetml/2009/9/main" objectType="Drop" dropLines="5" dropStyle="combo" dx="22" fmlaLink="$P$74" fmlaRange="$AA$7:$AA$11" sel="1" val="0"/>
</file>

<file path=xl/ctrlProps/ctrlProp11.xml><?xml version="1.0" encoding="utf-8"?>
<formControlPr xmlns="http://schemas.microsoft.com/office/spreadsheetml/2009/9/main" objectType="Drop" dropLines="10" dropStyle="combo" dx="22" fmlaLink="$P$69" fmlaRange="$P$9:$P$30" sel="1" val="0"/>
</file>

<file path=xl/ctrlProps/ctrlProp12.xml><?xml version="1.0" encoding="utf-8"?>
<formControlPr xmlns="http://schemas.microsoft.com/office/spreadsheetml/2009/9/main" objectType="Drop" dropLines="6" dropStyle="combo" dx="22" fmlaLink="$U$67" fmlaRange="$W$44:$W$45" sel="1" val="0"/>
</file>

<file path=xl/ctrlProps/ctrlProp13.xml><?xml version="1.0" encoding="utf-8"?>
<formControlPr xmlns="http://schemas.microsoft.com/office/spreadsheetml/2009/9/main" objectType="Drop" dropLines="10" dropStyle="combo" dx="22" fmlaLink="$P$48" fmlaRange="$P$9:$P$30" sel="1" val="0"/>
</file>

<file path=xl/ctrlProps/ctrlProp14.xml><?xml version="1.0" encoding="utf-8"?>
<formControlPr xmlns="http://schemas.microsoft.com/office/spreadsheetml/2009/9/main" objectType="Drop" dropLines="10" dropStyle="combo" dx="22" fmlaLink="$AF$49" fmlaRange="$P$9:$P$30" sel="1" val="0"/>
</file>

<file path=xl/ctrlProps/ctrlProp15.xml><?xml version="1.0" encoding="utf-8"?>
<formControlPr xmlns="http://schemas.microsoft.com/office/spreadsheetml/2009/9/main" objectType="Drop" dropLines="5" dropStyle="combo" dx="22" fmlaLink="$P$34" fmlaRange="$AA$7:$AA$11" sel="1" val="0"/>
</file>

<file path=xl/ctrlProps/ctrlProp16.xml><?xml version="1.0" encoding="utf-8"?>
<formControlPr xmlns="http://schemas.microsoft.com/office/spreadsheetml/2009/9/main" objectType="Drop" dropLines="5" dropStyle="combo" dx="22" fmlaLink="$AF$51" fmlaRange="$AA$7:$AA$11" sel="1" val="0"/>
</file>

<file path=xl/ctrlProps/ctrlProp17.xml><?xml version="1.0" encoding="utf-8"?>
<formControlPr xmlns="http://schemas.microsoft.com/office/spreadsheetml/2009/9/main" objectType="Drop" dropLines="11" dropStyle="combo" dx="22" fmlaLink="$U$34" fmlaRange="$W$34:$W$44" sel="1" val="0"/>
</file>

<file path=xl/ctrlProps/ctrlProp18.xml><?xml version="1.0" encoding="utf-8"?>
<formControlPr xmlns="http://schemas.microsoft.com/office/spreadsheetml/2009/9/main" objectType="Drop" dropLines="10" dropStyle="combo" dx="22" fmlaLink="$P$46" fmlaRange="$P$9:$P$30" sel="1" val="0"/>
</file>

<file path=xl/ctrlProps/ctrlProp19.xml><?xml version="1.0" encoding="utf-8"?>
<formControlPr xmlns="http://schemas.microsoft.com/office/spreadsheetml/2009/9/main" objectType="Drop" dropLines="10" dropStyle="combo" dx="22" fmlaLink="$AF$46" fmlaRange="$P$9:$P$30" sel="1" val="0"/>
</file>

<file path=xl/ctrlProps/ctrlProp2.xml><?xml version="1.0" encoding="utf-8"?>
<formControlPr xmlns="http://schemas.microsoft.com/office/spreadsheetml/2009/9/main" objectType="Drop" dropLines="10" dropStyle="combo" dx="22" fmlaLink="$P$49" fmlaRange="$P$9:$P$30" sel="1" val="0"/>
</file>

<file path=xl/ctrlProps/ctrlProp20.xml><?xml version="1.0" encoding="utf-8"?>
<formControlPr xmlns="http://schemas.microsoft.com/office/spreadsheetml/2009/9/main" objectType="Drop" dropLines="6" dropStyle="combo" dx="22" fmlaLink="$U$50" fmlaRange="$W$50:$W$51" sel="1" val="0"/>
</file>

<file path=xl/ctrlProps/ctrlProp21.xml><?xml version="1.0" encoding="utf-8"?>
<formControlPr xmlns="http://schemas.microsoft.com/office/spreadsheetml/2009/9/main" objectType="Drop" dropLines="10" dropStyle="combo" dx="22" fmlaLink="$P$72" fmlaRange="$P$9:$P$30" sel="1" val="0"/>
</file>

<file path=xl/ctrlProps/ctrlProp22.xml><?xml version="1.0" encoding="utf-8"?>
<formControlPr xmlns="http://schemas.microsoft.com/office/spreadsheetml/2009/9/main" objectType="Drop" dropLines="5" dropStyle="combo" dx="22" fmlaLink="$P$74" fmlaRange="$AA$7:$AA$11" sel="2" val="0"/>
</file>

<file path=xl/ctrlProps/ctrlProp23.xml><?xml version="1.0" encoding="utf-8"?>
<formControlPr xmlns="http://schemas.microsoft.com/office/spreadsheetml/2009/9/main" objectType="Drop" dropLines="10" dropStyle="combo" dx="22" fmlaLink="$P$69" fmlaRange="$P$9:$P$30" sel="1" val="0"/>
</file>

<file path=xl/ctrlProps/ctrlProp24.xml><?xml version="1.0" encoding="utf-8"?>
<formControlPr xmlns="http://schemas.microsoft.com/office/spreadsheetml/2009/9/main" objectType="Drop" dropLines="6" dropStyle="combo" dx="22" fmlaLink="$U$67" fmlaRange="$W$50:$W$51" sel="2" val="0"/>
</file>

<file path=xl/ctrlProps/ctrlProp25.xml><?xml version="1.0" encoding="utf-8"?>
<formControlPr xmlns="http://schemas.microsoft.com/office/spreadsheetml/2009/9/main" objectType="Drop" dropLines="2" dropStyle="combo" dx="22" fmlaLink="$AA$16" fmlaRange="$AC$16:$AC$17" sel="1" val="0"/>
</file>

<file path=xl/ctrlProps/ctrlProp3.xml><?xml version="1.0" encoding="utf-8"?>
<formControlPr xmlns="http://schemas.microsoft.com/office/spreadsheetml/2009/9/main" objectType="Drop" dropLines="5" dropStyle="combo" dx="22" fmlaLink="$P$34" fmlaRange="$AA$7:$AA$11" sel="1" val="0"/>
</file>

<file path=xl/ctrlProps/ctrlProp4.xml><?xml version="1.0" encoding="utf-8"?>
<formControlPr xmlns="http://schemas.microsoft.com/office/spreadsheetml/2009/9/main" objectType="Drop" dropLines="5" dropStyle="combo" dx="22" fmlaLink="$P$51" fmlaRange="$AA$7:$AA$11" sel="1" val="0"/>
</file>

<file path=xl/ctrlProps/ctrlProp5.xml><?xml version="1.0" encoding="utf-8"?>
<formControlPr xmlns="http://schemas.microsoft.com/office/spreadsheetml/2009/9/main" objectType="Drop" dropLines="6" dropStyle="combo" dx="22" fmlaLink="$U$34" fmlaRange="$W$34:$W$39" sel="1" val="0"/>
</file>

<file path=xl/ctrlProps/ctrlProp6.xml><?xml version="1.0" encoding="utf-8"?>
<formControlPr xmlns="http://schemas.microsoft.com/office/spreadsheetml/2009/9/main" objectType="Drop" dropLines="10" dropStyle="combo" dx="22" fmlaLink="$P$40" fmlaRange="$P$9:$P$30" sel="1" val="0"/>
</file>

<file path=xl/ctrlProps/ctrlProp7.xml><?xml version="1.0" encoding="utf-8"?>
<formControlPr xmlns="http://schemas.microsoft.com/office/spreadsheetml/2009/9/main" objectType="Drop" dropLines="10" dropStyle="combo" dx="22" fmlaLink="$P$46" fmlaRange="$P$9:$P$30" sel="1" val="0"/>
</file>

<file path=xl/ctrlProps/ctrlProp8.xml><?xml version="1.0" encoding="utf-8"?>
<formControlPr xmlns="http://schemas.microsoft.com/office/spreadsheetml/2009/9/main" objectType="Drop" dropLines="6" dropStyle="combo" dx="22" fmlaLink="$U$44" fmlaRange="$W$44:$W$45" sel="1" val="0"/>
</file>

<file path=xl/ctrlProps/ctrlProp9.xml><?xml version="1.0" encoding="utf-8"?>
<formControlPr xmlns="http://schemas.microsoft.com/office/spreadsheetml/2009/9/main" objectType="Drop" dropLines="10" dropStyle="combo" dx="22" fmlaLink="$P$72" fmlaRange="$P$9:$P$30"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542925</xdr:colOff>
          <xdr:row>19</xdr:row>
          <xdr:rowOff>142875</xdr:rowOff>
        </xdr:from>
        <xdr:to>
          <xdr:col>11</xdr:col>
          <xdr:colOff>666750</xdr:colOff>
          <xdr:row>21</xdr:row>
          <xdr:rowOff>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561975</xdr:colOff>
          <xdr:row>40</xdr:row>
          <xdr:rowOff>161925</xdr:rowOff>
        </xdr:from>
        <xdr:to>
          <xdr:col>11</xdr:col>
          <xdr:colOff>666750</xdr:colOff>
          <xdr:row>42</xdr:row>
          <xdr:rowOff>19050</xdr:rowOff>
        </xdr:to>
        <xdr:sp macro="" textlink="">
          <xdr:nvSpPr>
            <xdr:cNvPr id="1026" name="Drop Dow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16</xdr:row>
          <xdr:rowOff>161925</xdr:rowOff>
        </xdr:from>
        <xdr:to>
          <xdr:col>11</xdr:col>
          <xdr:colOff>657225</xdr:colOff>
          <xdr:row>18</xdr:row>
          <xdr:rowOff>19050</xdr:rowOff>
        </xdr:to>
        <xdr:sp macro="" textlink="">
          <xdr:nvSpPr>
            <xdr:cNvPr id="1027" name="Drop Dow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35</xdr:row>
          <xdr:rowOff>152400</xdr:rowOff>
        </xdr:from>
        <xdr:to>
          <xdr:col>11</xdr:col>
          <xdr:colOff>666750</xdr:colOff>
          <xdr:row>37</xdr:row>
          <xdr:rowOff>9525</xdr:rowOff>
        </xdr:to>
        <xdr:sp macro="" textlink="">
          <xdr:nvSpPr>
            <xdr:cNvPr id="1028" name="Drop Dow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xdr:twoCellAnchor>
    <xdr:from>
      <xdr:col>6</xdr:col>
      <xdr:colOff>600075</xdr:colOff>
      <xdr:row>51</xdr:row>
      <xdr:rowOff>76200</xdr:rowOff>
    </xdr:from>
    <xdr:to>
      <xdr:col>8</xdr:col>
      <xdr:colOff>523875</xdr:colOff>
      <xdr:row>51</xdr:row>
      <xdr:rowOff>76200</xdr:rowOff>
    </xdr:to>
    <xdr:sp macro="" textlink="">
      <xdr:nvSpPr>
        <xdr:cNvPr id="1801" name="Line 5">
          <a:extLst>
            <a:ext uri="{FF2B5EF4-FFF2-40B4-BE49-F238E27FC236}">
              <a16:creationId xmlns:a16="http://schemas.microsoft.com/office/drawing/2014/main" id="{00000000-0008-0000-0000-000009070000}"/>
            </a:ext>
          </a:extLst>
        </xdr:cNvPr>
        <xdr:cNvSpPr>
          <a:spLocks noChangeShapeType="1"/>
        </xdr:cNvSpPr>
      </xdr:nvSpPr>
      <xdr:spPr bwMode="auto">
        <a:xfrm>
          <a:off x="3543300" y="8677275"/>
          <a:ext cx="1143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600075</xdr:colOff>
      <xdr:row>52</xdr:row>
      <xdr:rowOff>66675</xdr:rowOff>
    </xdr:from>
    <xdr:to>
      <xdr:col>8</xdr:col>
      <xdr:colOff>523875</xdr:colOff>
      <xdr:row>52</xdr:row>
      <xdr:rowOff>66675</xdr:rowOff>
    </xdr:to>
    <xdr:sp macro="" textlink="">
      <xdr:nvSpPr>
        <xdr:cNvPr id="1802" name="Line 6">
          <a:extLst>
            <a:ext uri="{FF2B5EF4-FFF2-40B4-BE49-F238E27FC236}">
              <a16:creationId xmlns:a16="http://schemas.microsoft.com/office/drawing/2014/main" id="{00000000-0008-0000-0000-00000A070000}"/>
            </a:ext>
          </a:extLst>
        </xdr:cNvPr>
        <xdr:cNvSpPr>
          <a:spLocks noChangeShapeType="1"/>
        </xdr:cNvSpPr>
      </xdr:nvSpPr>
      <xdr:spPr bwMode="auto">
        <a:xfrm>
          <a:off x="3543300" y="8839200"/>
          <a:ext cx="1143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361950</xdr:colOff>
      <xdr:row>31</xdr:row>
      <xdr:rowOff>85725</xdr:rowOff>
    </xdr:from>
    <xdr:to>
      <xdr:col>8</xdr:col>
      <xdr:colOff>561975</xdr:colOff>
      <xdr:row>31</xdr:row>
      <xdr:rowOff>85725</xdr:rowOff>
    </xdr:to>
    <xdr:sp macro="" textlink="">
      <xdr:nvSpPr>
        <xdr:cNvPr id="1803" name="Line 7">
          <a:extLst>
            <a:ext uri="{FF2B5EF4-FFF2-40B4-BE49-F238E27FC236}">
              <a16:creationId xmlns:a16="http://schemas.microsoft.com/office/drawing/2014/main" id="{00000000-0008-0000-0000-00000B070000}"/>
            </a:ext>
          </a:extLst>
        </xdr:cNvPr>
        <xdr:cNvSpPr>
          <a:spLocks noChangeShapeType="1"/>
        </xdr:cNvSpPr>
      </xdr:nvSpPr>
      <xdr:spPr bwMode="auto">
        <a:xfrm>
          <a:off x="3914775" y="5238750"/>
          <a:ext cx="809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361950</xdr:colOff>
      <xdr:row>32</xdr:row>
      <xdr:rowOff>76200</xdr:rowOff>
    </xdr:from>
    <xdr:to>
      <xdr:col>8</xdr:col>
      <xdr:colOff>561975</xdr:colOff>
      <xdr:row>32</xdr:row>
      <xdr:rowOff>76200</xdr:rowOff>
    </xdr:to>
    <xdr:sp macro="" textlink="">
      <xdr:nvSpPr>
        <xdr:cNvPr id="1804" name="Line 8">
          <a:extLst>
            <a:ext uri="{FF2B5EF4-FFF2-40B4-BE49-F238E27FC236}">
              <a16:creationId xmlns:a16="http://schemas.microsoft.com/office/drawing/2014/main" id="{00000000-0008-0000-0000-00000C070000}"/>
            </a:ext>
          </a:extLst>
        </xdr:cNvPr>
        <xdr:cNvSpPr>
          <a:spLocks noChangeShapeType="1"/>
        </xdr:cNvSpPr>
      </xdr:nvSpPr>
      <xdr:spPr bwMode="auto">
        <a:xfrm>
          <a:off x="3914775" y="5400675"/>
          <a:ext cx="809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9</xdr:col>
          <xdr:colOff>76200</xdr:colOff>
          <xdr:row>15</xdr:row>
          <xdr:rowOff>95250</xdr:rowOff>
        </xdr:from>
        <xdr:to>
          <xdr:col>11</xdr:col>
          <xdr:colOff>657225</xdr:colOff>
          <xdr:row>16</xdr:row>
          <xdr:rowOff>123825</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542925</xdr:colOff>
          <xdr:row>22</xdr:row>
          <xdr:rowOff>161925</xdr:rowOff>
        </xdr:from>
        <xdr:to>
          <xdr:col>11</xdr:col>
          <xdr:colOff>666750</xdr:colOff>
          <xdr:row>24</xdr:row>
          <xdr:rowOff>19050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561975</xdr:colOff>
          <xdr:row>43</xdr:row>
          <xdr:rowOff>142875</xdr:rowOff>
        </xdr:from>
        <xdr:to>
          <xdr:col>11</xdr:col>
          <xdr:colOff>666750</xdr:colOff>
          <xdr:row>45</xdr:row>
          <xdr:rowOff>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xdr:twoCellAnchor>
    <xdr:from>
      <xdr:col>2</xdr:col>
      <xdr:colOff>152400</xdr:colOff>
      <xdr:row>18</xdr:row>
      <xdr:rowOff>161925</xdr:rowOff>
    </xdr:from>
    <xdr:to>
      <xdr:col>4</xdr:col>
      <xdr:colOff>114300</xdr:colOff>
      <xdr:row>18</xdr:row>
      <xdr:rowOff>161925</xdr:rowOff>
    </xdr:to>
    <xdr:sp macro="" textlink="">
      <xdr:nvSpPr>
        <xdr:cNvPr id="1805" name="Line 12">
          <a:extLst>
            <a:ext uri="{FF2B5EF4-FFF2-40B4-BE49-F238E27FC236}">
              <a16:creationId xmlns:a16="http://schemas.microsoft.com/office/drawing/2014/main" id="{00000000-0008-0000-0000-00000D070000}"/>
            </a:ext>
          </a:extLst>
        </xdr:cNvPr>
        <xdr:cNvSpPr>
          <a:spLocks noChangeShapeType="1"/>
        </xdr:cNvSpPr>
      </xdr:nvSpPr>
      <xdr:spPr bwMode="auto">
        <a:xfrm>
          <a:off x="1000125" y="3086100"/>
          <a:ext cx="923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142875</xdr:colOff>
      <xdr:row>40</xdr:row>
      <xdr:rowOff>9525</xdr:rowOff>
    </xdr:from>
    <xdr:to>
      <xdr:col>4</xdr:col>
      <xdr:colOff>133350</xdr:colOff>
      <xdr:row>40</xdr:row>
      <xdr:rowOff>9525</xdr:rowOff>
    </xdr:to>
    <xdr:sp macro="" textlink="">
      <xdr:nvSpPr>
        <xdr:cNvPr id="1806" name="Line 13">
          <a:extLst>
            <a:ext uri="{FF2B5EF4-FFF2-40B4-BE49-F238E27FC236}">
              <a16:creationId xmlns:a16="http://schemas.microsoft.com/office/drawing/2014/main" id="{00000000-0008-0000-0000-00000E070000}"/>
            </a:ext>
          </a:extLst>
        </xdr:cNvPr>
        <xdr:cNvSpPr>
          <a:spLocks noChangeShapeType="1"/>
        </xdr:cNvSpPr>
      </xdr:nvSpPr>
      <xdr:spPr bwMode="auto">
        <a:xfrm>
          <a:off x="990600" y="6724650"/>
          <a:ext cx="952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10</xdr:col>
          <xdr:colOff>390525</xdr:colOff>
          <xdr:row>37</xdr:row>
          <xdr:rowOff>19050</xdr:rowOff>
        </xdr:from>
        <xdr:to>
          <xdr:col>11</xdr:col>
          <xdr:colOff>666750</xdr:colOff>
          <xdr:row>38</xdr:row>
          <xdr:rowOff>47625</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561975</xdr:colOff>
          <xdr:row>63</xdr:row>
          <xdr:rowOff>161925</xdr:rowOff>
        </xdr:from>
        <xdr:to>
          <xdr:col>11</xdr:col>
          <xdr:colOff>676275</xdr:colOff>
          <xdr:row>65</xdr:row>
          <xdr:rowOff>9525</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58</xdr:row>
          <xdr:rowOff>152400</xdr:rowOff>
        </xdr:from>
        <xdr:to>
          <xdr:col>11</xdr:col>
          <xdr:colOff>676275</xdr:colOff>
          <xdr:row>59</xdr:row>
          <xdr:rowOff>171450</xdr:rowOff>
        </xdr:to>
        <xdr:sp macro="" textlink="">
          <xdr:nvSpPr>
            <xdr:cNvPr id="1040" name="Drop Dow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xdr:twoCellAnchor>
    <xdr:from>
      <xdr:col>6</xdr:col>
      <xdr:colOff>600075</xdr:colOff>
      <xdr:row>74</xdr:row>
      <xdr:rowOff>76200</xdr:rowOff>
    </xdr:from>
    <xdr:to>
      <xdr:col>8</xdr:col>
      <xdr:colOff>523875</xdr:colOff>
      <xdr:row>74</xdr:row>
      <xdr:rowOff>76200</xdr:rowOff>
    </xdr:to>
    <xdr:sp macro="" textlink="">
      <xdr:nvSpPr>
        <xdr:cNvPr id="1807" name="Line 17">
          <a:extLst>
            <a:ext uri="{FF2B5EF4-FFF2-40B4-BE49-F238E27FC236}">
              <a16:creationId xmlns:a16="http://schemas.microsoft.com/office/drawing/2014/main" id="{00000000-0008-0000-0000-00000F070000}"/>
            </a:ext>
          </a:extLst>
        </xdr:cNvPr>
        <xdr:cNvSpPr>
          <a:spLocks noChangeShapeType="1"/>
        </xdr:cNvSpPr>
      </xdr:nvSpPr>
      <xdr:spPr bwMode="auto">
        <a:xfrm>
          <a:off x="3543300" y="12592050"/>
          <a:ext cx="1143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600075</xdr:colOff>
      <xdr:row>75</xdr:row>
      <xdr:rowOff>66675</xdr:rowOff>
    </xdr:from>
    <xdr:to>
      <xdr:col>8</xdr:col>
      <xdr:colOff>523875</xdr:colOff>
      <xdr:row>75</xdr:row>
      <xdr:rowOff>66675</xdr:rowOff>
    </xdr:to>
    <xdr:sp macro="" textlink="">
      <xdr:nvSpPr>
        <xdr:cNvPr id="1808" name="Line 18">
          <a:extLst>
            <a:ext uri="{FF2B5EF4-FFF2-40B4-BE49-F238E27FC236}">
              <a16:creationId xmlns:a16="http://schemas.microsoft.com/office/drawing/2014/main" id="{00000000-0008-0000-0000-000010070000}"/>
            </a:ext>
          </a:extLst>
        </xdr:cNvPr>
        <xdr:cNvSpPr>
          <a:spLocks noChangeShapeType="1"/>
        </xdr:cNvSpPr>
      </xdr:nvSpPr>
      <xdr:spPr bwMode="auto">
        <a:xfrm>
          <a:off x="3543300" y="12763500"/>
          <a:ext cx="1143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10</xdr:col>
          <xdr:colOff>561975</xdr:colOff>
          <xdr:row>66</xdr:row>
          <xdr:rowOff>142875</xdr:rowOff>
        </xdr:from>
        <xdr:to>
          <xdr:col>11</xdr:col>
          <xdr:colOff>676275</xdr:colOff>
          <xdr:row>67</xdr:row>
          <xdr:rowOff>171450</xdr:rowOff>
        </xdr:to>
        <xdr:sp macro="" textlink="">
          <xdr:nvSpPr>
            <xdr:cNvPr id="1043" name="Drop Dow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xdr:twoCellAnchor>
    <xdr:from>
      <xdr:col>2</xdr:col>
      <xdr:colOff>142875</xdr:colOff>
      <xdr:row>63</xdr:row>
      <xdr:rowOff>9525</xdr:rowOff>
    </xdr:from>
    <xdr:to>
      <xdr:col>4</xdr:col>
      <xdr:colOff>133350</xdr:colOff>
      <xdr:row>63</xdr:row>
      <xdr:rowOff>9525</xdr:rowOff>
    </xdr:to>
    <xdr:sp macro="" textlink="">
      <xdr:nvSpPr>
        <xdr:cNvPr id="1809" name="Line 20">
          <a:extLst>
            <a:ext uri="{FF2B5EF4-FFF2-40B4-BE49-F238E27FC236}">
              <a16:creationId xmlns:a16="http://schemas.microsoft.com/office/drawing/2014/main" id="{00000000-0008-0000-0000-000011070000}"/>
            </a:ext>
          </a:extLst>
        </xdr:cNvPr>
        <xdr:cNvSpPr>
          <a:spLocks noChangeShapeType="1"/>
        </xdr:cNvSpPr>
      </xdr:nvSpPr>
      <xdr:spPr bwMode="auto">
        <a:xfrm>
          <a:off x="990600" y="10534650"/>
          <a:ext cx="952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10</xdr:col>
          <xdr:colOff>390525</xdr:colOff>
          <xdr:row>60</xdr:row>
          <xdr:rowOff>85725</xdr:rowOff>
        </xdr:from>
        <xdr:to>
          <xdr:col>11</xdr:col>
          <xdr:colOff>676275</xdr:colOff>
          <xdr:row>61</xdr:row>
          <xdr:rowOff>104775</xdr:rowOff>
        </xdr:to>
        <xdr:sp macro="" textlink="">
          <xdr:nvSpPr>
            <xdr:cNvPr id="1045" name="Drop Down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xdr:twoCellAnchor>
    <xdr:from>
      <xdr:col>1</xdr:col>
      <xdr:colOff>600075</xdr:colOff>
      <xdr:row>10</xdr:row>
      <xdr:rowOff>95250</xdr:rowOff>
    </xdr:from>
    <xdr:to>
      <xdr:col>5</xdr:col>
      <xdr:colOff>533400</xdr:colOff>
      <xdr:row>14</xdr:row>
      <xdr:rowOff>161925</xdr:rowOff>
    </xdr:to>
    <xdr:sp macro="" textlink="">
      <xdr:nvSpPr>
        <xdr:cNvPr id="1810" name="Rectangle 53">
          <a:extLst>
            <a:ext uri="{FF2B5EF4-FFF2-40B4-BE49-F238E27FC236}">
              <a16:creationId xmlns:a16="http://schemas.microsoft.com/office/drawing/2014/main" id="{00000000-0008-0000-0000-000012070000}"/>
            </a:ext>
          </a:extLst>
        </xdr:cNvPr>
        <xdr:cNvSpPr>
          <a:spLocks noChangeArrowheads="1"/>
        </xdr:cNvSpPr>
      </xdr:nvSpPr>
      <xdr:spPr bwMode="auto">
        <a:xfrm>
          <a:off x="790575" y="1657350"/>
          <a:ext cx="2076450" cy="7429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clientData/>
  </xdr:twoCellAnchor>
  <xdr:twoCellAnchor>
    <xdr:from>
      <xdr:col>4</xdr:col>
      <xdr:colOff>381000</xdr:colOff>
      <xdr:row>8</xdr:row>
      <xdr:rowOff>28575</xdr:rowOff>
    </xdr:from>
    <xdr:to>
      <xdr:col>5</xdr:col>
      <xdr:colOff>219075</xdr:colOff>
      <xdr:row>10</xdr:row>
      <xdr:rowOff>95250</xdr:rowOff>
    </xdr:to>
    <xdr:sp macro="" textlink="">
      <xdr:nvSpPr>
        <xdr:cNvPr id="1811" name="Line 55">
          <a:extLst>
            <a:ext uri="{FF2B5EF4-FFF2-40B4-BE49-F238E27FC236}">
              <a16:creationId xmlns:a16="http://schemas.microsoft.com/office/drawing/2014/main" id="{00000000-0008-0000-0000-000013070000}"/>
            </a:ext>
          </a:extLst>
        </xdr:cNvPr>
        <xdr:cNvSpPr>
          <a:spLocks noChangeShapeType="1"/>
        </xdr:cNvSpPr>
      </xdr:nvSpPr>
      <xdr:spPr bwMode="auto">
        <a:xfrm flipV="1">
          <a:off x="2190750" y="1247775"/>
          <a:ext cx="361950" cy="4095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38100</xdr:colOff>
      <xdr:row>3</xdr:row>
      <xdr:rowOff>133350</xdr:rowOff>
    </xdr:from>
    <xdr:to>
      <xdr:col>12</xdr:col>
      <xdr:colOff>123825</xdr:colOff>
      <xdr:row>12</xdr:row>
      <xdr:rowOff>152400</xdr:rowOff>
    </xdr:to>
    <xdr:grpSp>
      <xdr:nvGrpSpPr>
        <xdr:cNvPr id="1812" name="Group 77">
          <a:extLst>
            <a:ext uri="{FF2B5EF4-FFF2-40B4-BE49-F238E27FC236}">
              <a16:creationId xmlns:a16="http://schemas.microsoft.com/office/drawing/2014/main" id="{00000000-0008-0000-0000-000014070000}"/>
            </a:ext>
          </a:extLst>
        </xdr:cNvPr>
        <xdr:cNvGrpSpPr>
          <a:grpSpLocks/>
        </xdr:cNvGrpSpPr>
      </xdr:nvGrpSpPr>
      <xdr:grpSpPr bwMode="auto">
        <a:xfrm>
          <a:off x="4819650" y="466725"/>
          <a:ext cx="2066925" cy="1590675"/>
          <a:chOff x="509" y="75"/>
          <a:chExt cx="217" cy="138"/>
        </a:xfrm>
      </xdr:grpSpPr>
      <xdr:sp macro="" textlink="">
        <xdr:nvSpPr>
          <xdr:cNvPr id="1859" name="Rectangle 59">
            <a:extLst>
              <a:ext uri="{FF2B5EF4-FFF2-40B4-BE49-F238E27FC236}">
                <a16:creationId xmlns:a16="http://schemas.microsoft.com/office/drawing/2014/main" id="{00000000-0008-0000-0000-000043070000}"/>
              </a:ext>
            </a:extLst>
          </xdr:cNvPr>
          <xdr:cNvSpPr>
            <a:spLocks noChangeArrowheads="1"/>
          </xdr:cNvSpPr>
        </xdr:nvSpPr>
        <xdr:spPr bwMode="auto">
          <a:xfrm>
            <a:off x="509" y="75"/>
            <a:ext cx="217" cy="138"/>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sp macro="" textlink="">
        <xdr:nvSpPr>
          <xdr:cNvPr id="1084" name="Rectangle 60">
            <a:extLst>
              <a:ext uri="{FF2B5EF4-FFF2-40B4-BE49-F238E27FC236}">
                <a16:creationId xmlns:a16="http://schemas.microsoft.com/office/drawing/2014/main" id="{00000000-0008-0000-0000-00003C040000}"/>
              </a:ext>
            </a:extLst>
          </xdr:cNvPr>
          <xdr:cNvSpPr>
            <a:spLocks noChangeArrowheads="1"/>
          </xdr:cNvSpPr>
        </xdr:nvSpPr>
        <xdr:spPr bwMode="auto">
          <a:xfrm>
            <a:off x="518" y="88"/>
            <a:ext cx="199" cy="116"/>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 Step 1b:  Insert the kVA           rating (PF) power factor and (Z) impedence of  transformer. </a:t>
            </a:r>
            <a:r>
              <a:rPr lang="en-US" sz="800" b="0" i="0" u="none" strike="noStrike" baseline="0">
                <a:solidFill>
                  <a:srgbClr val="000000"/>
                </a:solidFill>
                <a:latin typeface="Arial"/>
                <a:cs typeface="Arial"/>
              </a:rPr>
              <a:t>(Note: When you insert the kVA rating, power factor and impedence you must select a voltage from the select the Voltage and Phase from dropdown box before the value will be calculated.)</a:t>
            </a:r>
          </a:p>
          <a:p>
            <a:pPr algn="l" rtl="0">
              <a:defRPr sz="1000"/>
            </a:pPr>
            <a:endParaRPr lang="en-US" sz="800" b="0" i="0" u="none" strike="noStrike" baseline="0">
              <a:solidFill>
                <a:srgbClr val="000000"/>
              </a:solidFill>
              <a:latin typeface="Arial"/>
              <a:cs typeface="Arial"/>
            </a:endParaRPr>
          </a:p>
        </xdr:txBody>
      </xdr:sp>
    </xdr:grpSp>
    <xdr:clientData/>
  </xdr:twoCellAnchor>
  <xdr:twoCellAnchor>
    <xdr:from>
      <xdr:col>6</xdr:col>
      <xdr:colOff>161925</xdr:colOff>
      <xdr:row>11</xdr:row>
      <xdr:rowOff>66675</xdr:rowOff>
    </xdr:from>
    <xdr:to>
      <xdr:col>7</xdr:col>
      <xdr:colOff>28575</xdr:colOff>
      <xdr:row>14</xdr:row>
      <xdr:rowOff>66675</xdr:rowOff>
    </xdr:to>
    <xdr:grpSp>
      <xdr:nvGrpSpPr>
        <xdr:cNvPr id="1813" name="Group 62">
          <a:extLst>
            <a:ext uri="{FF2B5EF4-FFF2-40B4-BE49-F238E27FC236}">
              <a16:creationId xmlns:a16="http://schemas.microsoft.com/office/drawing/2014/main" id="{00000000-0008-0000-0000-000015070000}"/>
            </a:ext>
          </a:extLst>
        </xdr:cNvPr>
        <xdr:cNvGrpSpPr>
          <a:grpSpLocks/>
        </xdr:cNvGrpSpPr>
      </xdr:nvGrpSpPr>
      <xdr:grpSpPr bwMode="auto">
        <a:xfrm>
          <a:off x="3105150" y="1800225"/>
          <a:ext cx="476250" cy="504825"/>
          <a:chOff x="306" y="183"/>
          <a:chExt cx="50" cy="53"/>
        </a:xfrm>
      </xdr:grpSpPr>
      <xdr:sp macro="" textlink="">
        <xdr:nvSpPr>
          <xdr:cNvPr id="1857" name="Rectangle 56">
            <a:extLst>
              <a:ext uri="{FF2B5EF4-FFF2-40B4-BE49-F238E27FC236}">
                <a16:creationId xmlns:a16="http://schemas.microsoft.com/office/drawing/2014/main" id="{00000000-0008-0000-0000-000041070000}"/>
              </a:ext>
            </a:extLst>
          </xdr:cNvPr>
          <xdr:cNvSpPr>
            <a:spLocks noChangeArrowheads="1"/>
          </xdr:cNvSpPr>
        </xdr:nvSpPr>
        <xdr:spPr bwMode="auto">
          <a:xfrm>
            <a:off x="306" y="183"/>
            <a:ext cx="50" cy="5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085" name="Rectangle 61">
            <a:extLst>
              <a:ext uri="{FF2B5EF4-FFF2-40B4-BE49-F238E27FC236}">
                <a16:creationId xmlns:a16="http://schemas.microsoft.com/office/drawing/2014/main" id="{00000000-0008-0000-0000-00003D040000}"/>
              </a:ext>
            </a:extLst>
          </xdr:cNvPr>
          <xdr:cNvSpPr>
            <a:spLocks noChangeArrowheads="1"/>
          </xdr:cNvSpPr>
        </xdr:nvSpPr>
        <xdr:spPr bwMode="auto">
          <a:xfrm>
            <a:off x="322" y="199"/>
            <a:ext cx="26" cy="22"/>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or</a:t>
            </a:r>
          </a:p>
        </xdr:txBody>
      </xdr:sp>
    </xdr:grpSp>
    <xdr:clientData/>
  </xdr:twoCellAnchor>
  <xdr:twoCellAnchor>
    <xdr:from>
      <xdr:col>7</xdr:col>
      <xdr:colOff>342900</xdr:colOff>
      <xdr:row>7</xdr:row>
      <xdr:rowOff>161925</xdr:rowOff>
    </xdr:from>
    <xdr:to>
      <xdr:col>7</xdr:col>
      <xdr:colOff>533400</xdr:colOff>
      <xdr:row>10</xdr:row>
      <xdr:rowOff>123825</xdr:rowOff>
    </xdr:to>
    <xdr:sp macro="" textlink="">
      <xdr:nvSpPr>
        <xdr:cNvPr id="1814" name="Line 64">
          <a:extLst>
            <a:ext uri="{FF2B5EF4-FFF2-40B4-BE49-F238E27FC236}">
              <a16:creationId xmlns:a16="http://schemas.microsoft.com/office/drawing/2014/main" id="{00000000-0008-0000-0000-000016070000}"/>
            </a:ext>
          </a:extLst>
        </xdr:cNvPr>
        <xdr:cNvSpPr>
          <a:spLocks noChangeShapeType="1"/>
        </xdr:cNvSpPr>
      </xdr:nvSpPr>
      <xdr:spPr bwMode="auto">
        <a:xfrm flipV="1">
          <a:off x="3895725" y="1209675"/>
          <a:ext cx="190500" cy="4762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342900</xdr:colOff>
      <xdr:row>10</xdr:row>
      <xdr:rowOff>123825</xdr:rowOff>
    </xdr:from>
    <xdr:to>
      <xdr:col>7</xdr:col>
      <xdr:colOff>581025</xdr:colOff>
      <xdr:row>13</xdr:row>
      <xdr:rowOff>95250</xdr:rowOff>
    </xdr:to>
    <xdr:sp macro="" textlink="">
      <xdr:nvSpPr>
        <xdr:cNvPr id="1815" name="Line 65">
          <a:extLst>
            <a:ext uri="{FF2B5EF4-FFF2-40B4-BE49-F238E27FC236}">
              <a16:creationId xmlns:a16="http://schemas.microsoft.com/office/drawing/2014/main" id="{00000000-0008-0000-0000-000017070000}"/>
            </a:ext>
          </a:extLst>
        </xdr:cNvPr>
        <xdr:cNvSpPr>
          <a:spLocks noChangeShapeType="1"/>
        </xdr:cNvSpPr>
      </xdr:nvSpPr>
      <xdr:spPr bwMode="auto">
        <a:xfrm>
          <a:off x="3895725" y="1685925"/>
          <a:ext cx="238125" cy="4762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342900</xdr:colOff>
      <xdr:row>10</xdr:row>
      <xdr:rowOff>47625</xdr:rowOff>
    </xdr:from>
    <xdr:to>
      <xdr:col>9</xdr:col>
      <xdr:colOff>38100</xdr:colOff>
      <xdr:row>10</xdr:row>
      <xdr:rowOff>123825</xdr:rowOff>
    </xdr:to>
    <xdr:sp macro="" textlink="">
      <xdr:nvSpPr>
        <xdr:cNvPr id="1816" name="Line 66">
          <a:extLst>
            <a:ext uri="{FF2B5EF4-FFF2-40B4-BE49-F238E27FC236}">
              <a16:creationId xmlns:a16="http://schemas.microsoft.com/office/drawing/2014/main" id="{00000000-0008-0000-0000-000018070000}"/>
            </a:ext>
          </a:extLst>
        </xdr:cNvPr>
        <xdr:cNvSpPr>
          <a:spLocks noChangeShapeType="1"/>
        </xdr:cNvSpPr>
      </xdr:nvSpPr>
      <xdr:spPr bwMode="auto">
        <a:xfrm flipV="1">
          <a:off x="3895725" y="1609725"/>
          <a:ext cx="923925" cy="7620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104775</xdr:colOff>
      <xdr:row>11</xdr:row>
      <xdr:rowOff>28575</xdr:rowOff>
    </xdr:from>
    <xdr:to>
      <xdr:col>5</xdr:col>
      <xdr:colOff>352425</xdr:colOff>
      <xdr:row>14</xdr:row>
      <xdr:rowOff>57150</xdr:rowOff>
    </xdr:to>
    <xdr:sp macro="" textlink="">
      <xdr:nvSpPr>
        <xdr:cNvPr id="1091" name="Rectangle 67">
          <a:extLst>
            <a:ext uri="{FF2B5EF4-FFF2-40B4-BE49-F238E27FC236}">
              <a16:creationId xmlns:a16="http://schemas.microsoft.com/office/drawing/2014/main" id="{00000000-0008-0000-0000-000043040000}"/>
            </a:ext>
          </a:extLst>
        </xdr:cNvPr>
        <xdr:cNvSpPr>
          <a:spLocks noChangeArrowheads="1"/>
        </xdr:cNvSpPr>
      </xdr:nvSpPr>
      <xdr:spPr bwMode="auto">
        <a:xfrm>
          <a:off x="952500" y="1762125"/>
          <a:ext cx="1733550" cy="5334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Step 1a:  Insert available </a:t>
          </a:r>
        </a:p>
        <a:p>
          <a:pPr algn="ctr" rtl="0">
            <a:defRPr sz="1000"/>
          </a:pPr>
          <a:r>
            <a:rPr lang="en-US" sz="1000" b="1" i="0" u="none" strike="noStrike" baseline="0">
              <a:solidFill>
                <a:srgbClr val="000000"/>
              </a:solidFill>
              <a:latin typeface="Arial"/>
              <a:cs typeface="Arial"/>
            </a:rPr>
            <a:t>fault current ampere rating from local utility</a:t>
          </a:r>
        </a:p>
      </xdr:txBody>
    </xdr:sp>
    <xdr:clientData/>
  </xdr:twoCellAnchor>
  <xdr:twoCellAnchor>
    <xdr:from>
      <xdr:col>11</xdr:col>
      <xdr:colOff>485775</xdr:colOff>
      <xdr:row>13</xdr:row>
      <xdr:rowOff>9525</xdr:rowOff>
    </xdr:from>
    <xdr:to>
      <xdr:col>11</xdr:col>
      <xdr:colOff>485775</xdr:colOff>
      <xdr:row>15</xdr:row>
      <xdr:rowOff>76200</xdr:rowOff>
    </xdr:to>
    <xdr:sp macro="" textlink="">
      <xdr:nvSpPr>
        <xdr:cNvPr id="1818" name="Line 68">
          <a:extLst>
            <a:ext uri="{FF2B5EF4-FFF2-40B4-BE49-F238E27FC236}">
              <a16:creationId xmlns:a16="http://schemas.microsoft.com/office/drawing/2014/main" id="{00000000-0008-0000-0000-00001A070000}"/>
            </a:ext>
          </a:extLst>
        </xdr:cNvPr>
        <xdr:cNvSpPr>
          <a:spLocks noChangeShapeType="1"/>
        </xdr:cNvSpPr>
      </xdr:nvSpPr>
      <xdr:spPr bwMode="auto">
        <a:xfrm>
          <a:off x="6486525" y="2076450"/>
          <a:ext cx="0" cy="4095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609600</xdr:colOff>
      <xdr:row>20</xdr:row>
      <xdr:rowOff>104775</xdr:rowOff>
    </xdr:from>
    <xdr:to>
      <xdr:col>5</xdr:col>
      <xdr:colOff>600075</xdr:colOff>
      <xdr:row>23</xdr:row>
      <xdr:rowOff>161925</xdr:rowOff>
    </xdr:to>
    <xdr:sp macro="" textlink="">
      <xdr:nvSpPr>
        <xdr:cNvPr id="1819" name="Rectangle 69">
          <a:extLst>
            <a:ext uri="{FF2B5EF4-FFF2-40B4-BE49-F238E27FC236}">
              <a16:creationId xmlns:a16="http://schemas.microsoft.com/office/drawing/2014/main" id="{00000000-0008-0000-0000-00001B070000}"/>
            </a:ext>
          </a:extLst>
        </xdr:cNvPr>
        <xdr:cNvSpPr>
          <a:spLocks noChangeArrowheads="1"/>
        </xdr:cNvSpPr>
      </xdr:nvSpPr>
      <xdr:spPr bwMode="auto">
        <a:xfrm>
          <a:off x="800100" y="3371850"/>
          <a:ext cx="2133600" cy="571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clientData/>
  </xdr:twoCellAnchor>
  <xdr:twoCellAnchor>
    <xdr:from>
      <xdr:col>2</xdr:col>
      <xdr:colOff>66675</xdr:colOff>
      <xdr:row>21</xdr:row>
      <xdr:rowOff>38100</xdr:rowOff>
    </xdr:from>
    <xdr:to>
      <xdr:col>5</xdr:col>
      <xdr:colOff>457200</xdr:colOff>
      <xdr:row>23</xdr:row>
      <xdr:rowOff>66675</xdr:rowOff>
    </xdr:to>
    <xdr:sp macro="" textlink="">
      <xdr:nvSpPr>
        <xdr:cNvPr id="1094" name="Rectangle 70">
          <a:extLst>
            <a:ext uri="{FF2B5EF4-FFF2-40B4-BE49-F238E27FC236}">
              <a16:creationId xmlns:a16="http://schemas.microsoft.com/office/drawing/2014/main" id="{00000000-0008-0000-0000-000046040000}"/>
            </a:ext>
          </a:extLst>
        </xdr:cNvPr>
        <xdr:cNvSpPr>
          <a:spLocks noChangeArrowheads="1"/>
        </xdr:cNvSpPr>
      </xdr:nvSpPr>
      <xdr:spPr bwMode="auto">
        <a:xfrm>
          <a:off x="914400" y="3476625"/>
          <a:ext cx="1876425" cy="3714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Step 3: Insert the Length of one conductor </a:t>
          </a:r>
        </a:p>
      </xdr:txBody>
    </xdr:sp>
    <xdr:clientData/>
  </xdr:twoCellAnchor>
  <xdr:twoCellAnchor>
    <xdr:from>
      <xdr:col>6</xdr:col>
      <xdr:colOff>57150</xdr:colOff>
      <xdr:row>17</xdr:row>
      <xdr:rowOff>133350</xdr:rowOff>
    </xdr:from>
    <xdr:to>
      <xdr:col>7</xdr:col>
      <xdr:colOff>533400</xdr:colOff>
      <xdr:row>22</xdr:row>
      <xdr:rowOff>95250</xdr:rowOff>
    </xdr:to>
    <xdr:sp macro="" textlink="">
      <xdr:nvSpPr>
        <xdr:cNvPr id="1821" name="Line 71">
          <a:extLst>
            <a:ext uri="{FF2B5EF4-FFF2-40B4-BE49-F238E27FC236}">
              <a16:creationId xmlns:a16="http://schemas.microsoft.com/office/drawing/2014/main" id="{00000000-0008-0000-0000-00001D070000}"/>
            </a:ext>
          </a:extLst>
        </xdr:cNvPr>
        <xdr:cNvSpPr>
          <a:spLocks noChangeShapeType="1"/>
        </xdr:cNvSpPr>
      </xdr:nvSpPr>
      <xdr:spPr bwMode="auto">
        <a:xfrm flipV="1">
          <a:off x="3000375" y="2886075"/>
          <a:ext cx="1085850" cy="8191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95250</xdr:colOff>
      <xdr:row>24</xdr:row>
      <xdr:rowOff>152400</xdr:rowOff>
    </xdr:from>
    <xdr:to>
      <xdr:col>6</xdr:col>
      <xdr:colOff>76200</xdr:colOff>
      <xdr:row>28</xdr:row>
      <xdr:rowOff>0</xdr:rowOff>
    </xdr:to>
    <xdr:sp macro="" textlink="">
      <xdr:nvSpPr>
        <xdr:cNvPr id="1822" name="Rectangle 75">
          <a:extLst>
            <a:ext uri="{FF2B5EF4-FFF2-40B4-BE49-F238E27FC236}">
              <a16:creationId xmlns:a16="http://schemas.microsoft.com/office/drawing/2014/main" id="{00000000-0008-0000-0000-00001E070000}"/>
            </a:ext>
          </a:extLst>
        </xdr:cNvPr>
        <xdr:cNvSpPr>
          <a:spLocks noChangeArrowheads="1"/>
        </xdr:cNvSpPr>
      </xdr:nvSpPr>
      <xdr:spPr bwMode="auto">
        <a:xfrm>
          <a:off x="942975" y="4105275"/>
          <a:ext cx="2076450" cy="5334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clientData/>
  </xdr:twoCellAnchor>
  <xdr:twoCellAnchor>
    <xdr:from>
      <xdr:col>2</xdr:col>
      <xdr:colOff>190500</xdr:colOff>
      <xdr:row>25</xdr:row>
      <xdr:rowOff>76200</xdr:rowOff>
    </xdr:from>
    <xdr:to>
      <xdr:col>6</xdr:col>
      <xdr:colOff>0</xdr:colOff>
      <xdr:row>27</xdr:row>
      <xdr:rowOff>85725</xdr:rowOff>
    </xdr:to>
    <xdr:sp macro="" textlink="">
      <xdr:nvSpPr>
        <xdr:cNvPr id="1100" name="Text Box 76">
          <a:extLst>
            <a:ext uri="{FF2B5EF4-FFF2-40B4-BE49-F238E27FC236}">
              <a16:creationId xmlns:a16="http://schemas.microsoft.com/office/drawing/2014/main" id="{00000000-0008-0000-0000-00004C040000}"/>
            </a:ext>
          </a:extLst>
        </xdr:cNvPr>
        <xdr:cNvSpPr txBox="1">
          <a:spLocks noChangeArrowheads="1"/>
        </xdr:cNvSpPr>
      </xdr:nvSpPr>
      <xdr:spPr bwMode="auto">
        <a:xfrm>
          <a:off x="1038225" y="4200525"/>
          <a:ext cx="190500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Step 4: Insert the number of conductors per phase.</a:t>
          </a:r>
        </a:p>
        <a:p>
          <a:pPr algn="ctr" rtl="0">
            <a:defRPr sz="1000"/>
          </a:pPr>
          <a:endParaRPr lang="en-US" sz="1000" b="1" i="0" u="none" strike="noStrike" baseline="0">
            <a:solidFill>
              <a:srgbClr val="000000"/>
            </a:solidFill>
            <a:latin typeface="Arial"/>
            <a:cs typeface="Arial"/>
          </a:endParaRPr>
        </a:p>
      </xdr:txBody>
    </xdr:sp>
    <xdr:clientData/>
  </xdr:twoCellAnchor>
  <xdr:twoCellAnchor>
    <xdr:from>
      <xdr:col>6</xdr:col>
      <xdr:colOff>85725</xdr:colOff>
      <xdr:row>19</xdr:row>
      <xdr:rowOff>104775</xdr:rowOff>
    </xdr:from>
    <xdr:to>
      <xdr:col>7</xdr:col>
      <xdr:colOff>571500</xdr:colOff>
      <xdr:row>26</xdr:row>
      <xdr:rowOff>133350</xdr:rowOff>
    </xdr:to>
    <xdr:sp macro="" textlink="">
      <xdr:nvSpPr>
        <xdr:cNvPr id="1824" name="Line 79">
          <a:extLst>
            <a:ext uri="{FF2B5EF4-FFF2-40B4-BE49-F238E27FC236}">
              <a16:creationId xmlns:a16="http://schemas.microsoft.com/office/drawing/2014/main" id="{00000000-0008-0000-0000-000020070000}"/>
            </a:ext>
          </a:extLst>
        </xdr:cNvPr>
        <xdr:cNvSpPr>
          <a:spLocks noChangeShapeType="1"/>
        </xdr:cNvSpPr>
      </xdr:nvSpPr>
      <xdr:spPr bwMode="auto">
        <a:xfrm flipV="1">
          <a:off x="3028950" y="3200400"/>
          <a:ext cx="1095375" cy="122872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533400</xdr:colOff>
      <xdr:row>12</xdr:row>
      <xdr:rowOff>133350</xdr:rowOff>
    </xdr:from>
    <xdr:to>
      <xdr:col>6</xdr:col>
      <xdr:colOff>161925</xdr:colOff>
      <xdr:row>12</xdr:row>
      <xdr:rowOff>133350</xdr:rowOff>
    </xdr:to>
    <xdr:sp macro="" textlink="">
      <xdr:nvSpPr>
        <xdr:cNvPr id="1825" name="Line 81">
          <a:extLst>
            <a:ext uri="{FF2B5EF4-FFF2-40B4-BE49-F238E27FC236}">
              <a16:creationId xmlns:a16="http://schemas.microsoft.com/office/drawing/2014/main" id="{00000000-0008-0000-0000-000021070000}"/>
            </a:ext>
          </a:extLst>
        </xdr:cNvPr>
        <xdr:cNvSpPr>
          <a:spLocks noChangeShapeType="1"/>
        </xdr:cNvSpPr>
      </xdr:nvSpPr>
      <xdr:spPr bwMode="auto">
        <a:xfrm>
          <a:off x="2867025" y="2038350"/>
          <a:ext cx="238125" cy="0"/>
        </a:xfrm>
        <a:prstGeom prst="line">
          <a:avLst/>
        </a:prstGeom>
        <a:noFill/>
        <a:ln w="19050">
          <a:solidFill>
            <a:srgbClr xmlns:mc="http://schemas.openxmlformats.org/markup-compatibility/2006" xmlns:a14="http://schemas.microsoft.com/office/drawing/2010/main" val="FF9900" mc:Ignorable="a14" a14:legacySpreadsheetColorIndex="52"/>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409575</xdr:colOff>
      <xdr:row>14</xdr:row>
      <xdr:rowOff>66675</xdr:rowOff>
    </xdr:from>
    <xdr:to>
      <xdr:col>6</xdr:col>
      <xdr:colOff>409575</xdr:colOff>
      <xdr:row>15</xdr:row>
      <xdr:rowOff>76200</xdr:rowOff>
    </xdr:to>
    <xdr:sp macro="" textlink="">
      <xdr:nvSpPr>
        <xdr:cNvPr id="1826" name="Line 82">
          <a:extLst>
            <a:ext uri="{FF2B5EF4-FFF2-40B4-BE49-F238E27FC236}">
              <a16:creationId xmlns:a16="http://schemas.microsoft.com/office/drawing/2014/main" id="{00000000-0008-0000-0000-000022070000}"/>
            </a:ext>
          </a:extLst>
        </xdr:cNvPr>
        <xdr:cNvSpPr>
          <a:spLocks noChangeShapeType="1"/>
        </xdr:cNvSpPr>
      </xdr:nvSpPr>
      <xdr:spPr bwMode="auto">
        <a:xfrm>
          <a:off x="3352800" y="2305050"/>
          <a:ext cx="0" cy="180975"/>
        </a:xfrm>
        <a:prstGeom prst="line">
          <a:avLst/>
        </a:prstGeom>
        <a:noFill/>
        <a:ln w="19050">
          <a:solidFill>
            <a:srgbClr xmlns:mc="http://schemas.openxmlformats.org/markup-compatibility/2006" xmlns:a14="http://schemas.microsoft.com/office/drawing/2010/main" val="FF9900" mc:Ignorable="a14" a14:legacySpreadsheetColorIndex="52"/>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400050</xdr:colOff>
      <xdr:row>15</xdr:row>
      <xdr:rowOff>66675</xdr:rowOff>
    </xdr:from>
    <xdr:to>
      <xdr:col>10</xdr:col>
      <xdr:colOff>314325</xdr:colOff>
      <xdr:row>15</xdr:row>
      <xdr:rowOff>66675</xdr:rowOff>
    </xdr:to>
    <xdr:sp macro="" textlink="">
      <xdr:nvSpPr>
        <xdr:cNvPr id="1827" name="Line 83">
          <a:extLst>
            <a:ext uri="{FF2B5EF4-FFF2-40B4-BE49-F238E27FC236}">
              <a16:creationId xmlns:a16="http://schemas.microsoft.com/office/drawing/2014/main" id="{00000000-0008-0000-0000-000023070000}"/>
            </a:ext>
          </a:extLst>
        </xdr:cNvPr>
        <xdr:cNvSpPr>
          <a:spLocks noChangeShapeType="1"/>
        </xdr:cNvSpPr>
      </xdr:nvSpPr>
      <xdr:spPr bwMode="auto">
        <a:xfrm flipV="1">
          <a:off x="3343275" y="2476500"/>
          <a:ext cx="2362200" cy="0"/>
        </a:xfrm>
        <a:prstGeom prst="line">
          <a:avLst/>
        </a:prstGeom>
        <a:noFill/>
        <a:ln w="19050">
          <a:solidFill>
            <a:srgbClr xmlns:mc="http://schemas.openxmlformats.org/markup-compatibility/2006" xmlns:a14="http://schemas.microsoft.com/office/drawing/2010/main" val="FF9900" mc:Ignorable="a14" a14:legacySpreadsheetColorIndex="52"/>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323850</xdr:colOff>
      <xdr:row>13</xdr:row>
      <xdr:rowOff>9525</xdr:rowOff>
    </xdr:from>
    <xdr:to>
      <xdr:col>10</xdr:col>
      <xdr:colOff>323850</xdr:colOff>
      <xdr:row>15</xdr:row>
      <xdr:rowOff>76200</xdr:rowOff>
    </xdr:to>
    <xdr:sp macro="" textlink="">
      <xdr:nvSpPr>
        <xdr:cNvPr id="1828" name="Line 84">
          <a:extLst>
            <a:ext uri="{FF2B5EF4-FFF2-40B4-BE49-F238E27FC236}">
              <a16:creationId xmlns:a16="http://schemas.microsoft.com/office/drawing/2014/main" id="{00000000-0008-0000-0000-000024070000}"/>
            </a:ext>
          </a:extLst>
        </xdr:cNvPr>
        <xdr:cNvSpPr>
          <a:spLocks noChangeShapeType="1"/>
        </xdr:cNvSpPr>
      </xdr:nvSpPr>
      <xdr:spPr bwMode="auto">
        <a:xfrm flipH="1">
          <a:off x="5715000" y="2076450"/>
          <a:ext cx="0" cy="409575"/>
        </a:xfrm>
        <a:prstGeom prst="line">
          <a:avLst/>
        </a:prstGeom>
        <a:noFill/>
        <a:ln w="19050">
          <a:solidFill>
            <a:srgbClr xmlns:mc="http://schemas.openxmlformats.org/markup-compatibility/2006" xmlns:a14="http://schemas.microsoft.com/office/drawing/2010/main" val="FF9900" mc:Ignorable="a14" a14:legacySpreadsheetColorIndex="52"/>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219075</xdr:colOff>
      <xdr:row>15</xdr:row>
      <xdr:rowOff>66675</xdr:rowOff>
    </xdr:from>
    <xdr:to>
      <xdr:col>8</xdr:col>
      <xdr:colOff>361950</xdr:colOff>
      <xdr:row>15</xdr:row>
      <xdr:rowOff>66675</xdr:rowOff>
    </xdr:to>
    <xdr:sp macro="" textlink="">
      <xdr:nvSpPr>
        <xdr:cNvPr id="1829" name="Line 85">
          <a:extLst>
            <a:ext uri="{FF2B5EF4-FFF2-40B4-BE49-F238E27FC236}">
              <a16:creationId xmlns:a16="http://schemas.microsoft.com/office/drawing/2014/main" id="{00000000-0008-0000-0000-000025070000}"/>
            </a:ext>
          </a:extLst>
        </xdr:cNvPr>
        <xdr:cNvSpPr>
          <a:spLocks noChangeShapeType="1"/>
        </xdr:cNvSpPr>
      </xdr:nvSpPr>
      <xdr:spPr bwMode="auto">
        <a:xfrm>
          <a:off x="3771900" y="2476500"/>
          <a:ext cx="752475" cy="0"/>
        </a:xfrm>
        <a:prstGeom prst="line">
          <a:avLst/>
        </a:prstGeom>
        <a:noFill/>
        <a:ln w="9525">
          <a:solidFill>
            <a:srgbClr xmlns:mc="http://schemas.openxmlformats.org/markup-compatibility/2006" xmlns:a14="http://schemas.microsoft.com/office/drawing/2010/main" val="FF9900" mc:Ignorable="a14" a14:legacySpreadsheetColorIndex="5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533400</xdr:colOff>
      <xdr:row>15</xdr:row>
      <xdr:rowOff>66675</xdr:rowOff>
    </xdr:from>
    <xdr:to>
      <xdr:col>7</xdr:col>
      <xdr:colOff>266700</xdr:colOff>
      <xdr:row>15</xdr:row>
      <xdr:rowOff>66675</xdr:rowOff>
    </xdr:to>
    <xdr:sp macro="" textlink="">
      <xdr:nvSpPr>
        <xdr:cNvPr id="1830" name="Line 86">
          <a:extLst>
            <a:ext uri="{FF2B5EF4-FFF2-40B4-BE49-F238E27FC236}">
              <a16:creationId xmlns:a16="http://schemas.microsoft.com/office/drawing/2014/main" id="{00000000-0008-0000-0000-000026070000}"/>
            </a:ext>
          </a:extLst>
        </xdr:cNvPr>
        <xdr:cNvSpPr>
          <a:spLocks noChangeShapeType="1"/>
        </xdr:cNvSpPr>
      </xdr:nvSpPr>
      <xdr:spPr bwMode="auto">
        <a:xfrm>
          <a:off x="3476625" y="2476500"/>
          <a:ext cx="342900" cy="0"/>
        </a:xfrm>
        <a:prstGeom prst="line">
          <a:avLst/>
        </a:prstGeom>
        <a:noFill/>
        <a:ln w="9525">
          <a:solidFill>
            <a:srgbClr xmlns:mc="http://schemas.openxmlformats.org/markup-compatibility/2006" xmlns:a14="http://schemas.microsoft.com/office/drawing/2010/main" val="FF9900" mc:Ignorable="a14" a14:legacySpreadsheetColorIndex="5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285750</xdr:colOff>
      <xdr:row>15</xdr:row>
      <xdr:rowOff>66675</xdr:rowOff>
    </xdr:from>
    <xdr:to>
      <xdr:col>9</xdr:col>
      <xdr:colOff>419100</xdr:colOff>
      <xdr:row>15</xdr:row>
      <xdr:rowOff>66675</xdr:rowOff>
    </xdr:to>
    <xdr:sp macro="" textlink="">
      <xdr:nvSpPr>
        <xdr:cNvPr id="1831" name="Line 87">
          <a:extLst>
            <a:ext uri="{FF2B5EF4-FFF2-40B4-BE49-F238E27FC236}">
              <a16:creationId xmlns:a16="http://schemas.microsoft.com/office/drawing/2014/main" id="{00000000-0008-0000-0000-000027070000}"/>
            </a:ext>
          </a:extLst>
        </xdr:cNvPr>
        <xdr:cNvSpPr>
          <a:spLocks noChangeShapeType="1"/>
        </xdr:cNvSpPr>
      </xdr:nvSpPr>
      <xdr:spPr bwMode="auto">
        <a:xfrm>
          <a:off x="4448175" y="2476500"/>
          <a:ext cx="752475" cy="0"/>
        </a:xfrm>
        <a:prstGeom prst="line">
          <a:avLst/>
        </a:prstGeom>
        <a:noFill/>
        <a:ln w="9525">
          <a:solidFill>
            <a:srgbClr xmlns:mc="http://schemas.openxmlformats.org/markup-compatibility/2006" xmlns:a14="http://schemas.microsoft.com/office/drawing/2010/main" val="FF9900" mc:Ignorable="a14" a14:legacySpreadsheetColorIndex="5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600075</xdr:colOff>
      <xdr:row>12</xdr:row>
      <xdr:rowOff>133350</xdr:rowOff>
    </xdr:from>
    <xdr:to>
      <xdr:col>6</xdr:col>
      <xdr:colOff>114300</xdr:colOff>
      <xdr:row>12</xdr:row>
      <xdr:rowOff>133350</xdr:rowOff>
    </xdr:to>
    <xdr:sp macro="" textlink="">
      <xdr:nvSpPr>
        <xdr:cNvPr id="1832" name="Line 88">
          <a:extLst>
            <a:ext uri="{FF2B5EF4-FFF2-40B4-BE49-F238E27FC236}">
              <a16:creationId xmlns:a16="http://schemas.microsoft.com/office/drawing/2014/main" id="{00000000-0008-0000-0000-000028070000}"/>
            </a:ext>
          </a:extLst>
        </xdr:cNvPr>
        <xdr:cNvSpPr>
          <a:spLocks noChangeShapeType="1"/>
        </xdr:cNvSpPr>
      </xdr:nvSpPr>
      <xdr:spPr bwMode="auto">
        <a:xfrm>
          <a:off x="2933700" y="2038350"/>
          <a:ext cx="123825" cy="0"/>
        </a:xfrm>
        <a:prstGeom prst="line">
          <a:avLst/>
        </a:prstGeom>
        <a:noFill/>
        <a:ln w="9525">
          <a:solidFill>
            <a:srgbClr xmlns:mc="http://schemas.openxmlformats.org/markup-compatibility/2006" xmlns:a14="http://schemas.microsoft.com/office/drawing/2010/main" val="FF9900" mc:Ignorable="a14" a14:legacySpreadsheetColorIndex="5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323850</xdr:colOff>
      <xdr:row>13</xdr:row>
      <xdr:rowOff>142875</xdr:rowOff>
    </xdr:from>
    <xdr:to>
      <xdr:col>10</xdr:col>
      <xdr:colOff>323850</xdr:colOff>
      <xdr:row>14</xdr:row>
      <xdr:rowOff>95250</xdr:rowOff>
    </xdr:to>
    <xdr:sp macro="" textlink="">
      <xdr:nvSpPr>
        <xdr:cNvPr id="1833" name="Line 89">
          <a:extLst>
            <a:ext uri="{FF2B5EF4-FFF2-40B4-BE49-F238E27FC236}">
              <a16:creationId xmlns:a16="http://schemas.microsoft.com/office/drawing/2014/main" id="{00000000-0008-0000-0000-000029070000}"/>
            </a:ext>
          </a:extLst>
        </xdr:cNvPr>
        <xdr:cNvSpPr>
          <a:spLocks noChangeShapeType="1"/>
        </xdr:cNvSpPr>
      </xdr:nvSpPr>
      <xdr:spPr bwMode="auto">
        <a:xfrm rot="-5400000">
          <a:off x="5653087" y="2271713"/>
          <a:ext cx="123825" cy="0"/>
        </a:xfrm>
        <a:prstGeom prst="line">
          <a:avLst/>
        </a:prstGeom>
        <a:noFill/>
        <a:ln w="9525">
          <a:solidFill>
            <a:srgbClr xmlns:mc="http://schemas.openxmlformats.org/markup-compatibility/2006" xmlns:a14="http://schemas.microsoft.com/office/drawing/2010/main" val="FF9900" mc:Ignorable="a14" a14:legacySpreadsheetColorIndex="5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104775</xdr:colOff>
      <xdr:row>16</xdr:row>
      <xdr:rowOff>19050</xdr:rowOff>
    </xdr:from>
    <xdr:to>
      <xdr:col>6</xdr:col>
      <xdr:colOff>142875</xdr:colOff>
      <xdr:row>19</xdr:row>
      <xdr:rowOff>76200</xdr:rowOff>
    </xdr:to>
    <xdr:sp macro="" textlink="">
      <xdr:nvSpPr>
        <xdr:cNvPr id="1834" name="Rectangle 92">
          <a:extLst>
            <a:ext uri="{FF2B5EF4-FFF2-40B4-BE49-F238E27FC236}">
              <a16:creationId xmlns:a16="http://schemas.microsoft.com/office/drawing/2014/main" id="{00000000-0008-0000-0000-00002A070000}"/>
            </a:ext>
          </a:extLst>
        </xdr:cNvPr>
        <xdr:cNvSpPr>
          <a:spLocks noChangeArrowheads="1"/>
        </xdr:cNvSpPr>
      </xdr:nvSpPr>
      <xdr:spPr bwMode="auto">
        <a:xfrm>
          <a:off x="952500" y="2600325"/>
          <a:ext cx="2133600" cy="571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clientData/>
  </xdr:twoCellAnchor>
  <xdr:twoCellAnchor>
    <xdr:from>
      <xdr:col>2</xdr:col>
      <xdr:colOff>219075</xdr:colOff>
      <xdr:row>16</xdr:row>
      <xdr:rowOff>123825</xdr:rowOff>
    </xdr:from>
    <xdr:to>
      <xdr:col>6</xdr:col>
      <xdr:colOff>0</xdr:colOff>
      <xdr:row>18</xdr:row>
      <xdr:rowOff>152400</xdr:rowOff>
    </xdr:to>
    <xdr:sp macro="" textlink="">
      <xdr:nvSpPr>
        <xdr:cNvPr id="1117" name="Rectangle 93">
          <a:extLst>
            <a:ext uri="{FF2B5EF4-FFF2-40B4-BE49-F238E27FC236}">
              <a16:creationId xmlns:a16="http://schemas.microsoft.com/office/drawing/2014/main" id="{00000000-0008-0000-0000-00005D040000}"/>
            </a:ext>
          </a:extLst>
        </xdr:cNvPr>
        <xdr:cNvSpPr>
          <a:spLocks noChangeArrowheads="1"/>
        </xdr:cNvSpPr>
      </xdr:nvSpPr>
      <xdr:spPr bwMode="auto">
        <a:xfrm>
          <a:off x="1066800" y="2705100"/>
          <a:ext cx="1876425" cy="3714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Step 2: Select type of conductor and conduit</a:t>
          </a:r>
        </a:p>
      </xdr:txBody>
    </xdr:sp>
    <xdr:clientData/>
  </xdr:twoCellAnchor>
  <xdr:twoCellAnchor>
    <xdr:from>
      <xdr:col>8</xdr:col>
      <xdr:colOff>428625</xdr:colOff>
      <xdr:row>16</xdr:row>
      <xdr:rowOff>38100</xdr:rowOff>
    </xdr:from>
    <xdr:to>
      <xdr:col>9</xdr:col>
      <xdr:colOff>38100</xdr:colOff>
      <xdr:row>16</xdr:row>
      <xdr:rowOff>161925</xdr:rowOff>
    </xdr:to>
    <xdr:sp macro="" textlink="">
      <xdr:nvSpPr>
        <xdr:cNvPr id="1836" name="Line 94">
          <a:extLst>
            <a:ext uri="{FF2B5EF4-FFF2-40B4-BE49-F238E27FC236}">
              <a16:creationId xmlns:a16="http://schemas.microsoft.com/office/drawing/2014/main" id="{00000000-0008-0000-0000-00002C070000}"/>
            </a:ext>
          </a:extLst>
        </xdr:cNvPr>
        <xdr:cNvSpPr>
          <a:spLocks noChangeShapeType="1"/>
        </xdr:cNvSpPr>
      </xdr:nvSpPr>
      <xdr:spPr bwMode="auto">
        <a:xfrm>
          <a:off x="4591050" y="2619375"/>
          <a:ext cx="228600" cy="12382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171450</xdr:colOff>
      <xdr:row>16</xdr:row>
      <xdr:rowOff>28575</xdr:rowOff>
    </xdr:from>
    <xdr:to>
      <xdr:col>8</xdr:col>
      <xdr:colOff>428625</xdr:colOff>
      <xdr:row>16</xdr:row>
      <xdr:rowOff>161925</xdr:rowOff>
    </xdr:to>
    <xdr:sp macro="" textlink="">
      <xdr:nvSpPr>
        <xdr:cNvPr id="1837" name="Line 95">
          <a:extLst>
            <a:ext uri="{FF2B5EF4-FFF2-40B4-BE49-F238E27FC236}">
              <a16:creationId xmlns:a16="http://schemas.microsoft.com/office/drawing/2014/main" id="{00000000-0008-0000-0000-00002D070000}"/>
            </a:ext>
          </a:extLst>
        </xdr:cNvPr>
        <xdr:cNvSpPr>
          <a:spLocks noChangeShapeType="1"/>
        </xdr:cNvSpPr>
      </xdr:nvSpPr>
      <xdr:spPr bwMode="auto">
        <a:xfrm flipH="1">
          <a:off x="3114675" y="2609850"/>
          <a:ext cx="1476375" cy="1333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247650</xdr:colOff>
      <xdr:row>27</xdr:row>
      <xdr:rowOff>76200</xdr:rowOff>
    </xdr:from>
    <xdr:to>
      <xdr:col>11</xdr:col>
      <xdr:colOff>685800</xdr:colOff>
      <xdr:row>30</xdr:row>
      <xdr:rowOff>47625</xdr:rowOff>
    </xdr:to>
    <xdr:grpSp>
      <xdr:nvGrpSpPr>
        <xdr:cNvPr id="1838" name="Group 105">
          <a:extLst>
            <a:ext uri="{FF2B5EF4-FFF2-40B4-BE49-F238E27FC236}">
              <a16:creationId xmlns:a16="http://schemas.microsoft.com/office/drawing/2014/main" id="{00000000-0008-0000-0000-00002E070000}"/>
            </a:ext>
          </a:extLst>
        </xdr:cNvPr>
        <xdr:cNvGrpSpPr>
          <a:grpSpLocks/>
        </xdr:cNvGrpSpPr>
      </xdr:nvGrpSpPr>
      <xdr:grpSpPr bwMode="auto">
        <a:xfrm>
          <a:off x="5029200" y="4543425"/>
          <a:ext cx="1657350" cy="485775"/>
          <a:chOff x="528" y="477"/>
          <a:chExt cx="174" cy="51"/>
        </a:xfrm>
      </xdr:grpSpPr>
      <xdr:sp macro="" textlink="">
        <xdr:nvSpPr>
          <xdr:cNvPr id="1855" name="Rectangle 96">
            <a:extLst>
              <a:ext uri="{FF2B5EF4-FFF2-40B4-BE49-F238E27FC236}">
                <a16:creationId xmlns:a16="http://schemas.microsoft.com/office/drawing/2014/main" id="{00000000-0008-0000-0000-00003F070000}"/>
              </a:ext>
            </a:extLst>
          </xdr:cNvPr>
          <xdr:cNvSpPr>
            <a:spLocks noChangeArrowheads="1"/>
          </xdr:cNvSpPr>
        </xdr:nvSpPr>
        <xdr:spPr bwMode="auto">
          <a:xfrm>
            <a:off x="528" y="477"/>
            <a:ext cx="174" cy="51"/>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sp macro="" textlink="">
        <xdr:nvSpPr>
          <xdr:cNvPr id="1121" name="Text Box 97">
            <a:extLst>
              <a:ext uri="{FF2B5EF4-FFF2-40B4-BE49-F238E27FC236}">
                <a16:creationId xmlns:a16="http://schemas.microsoft.com/office/drawing/2014/main" id="{00000000-0008-0000-0000-000061040000}"/>
              </a:ext>
            </a:extLst>
          </xdr:cNvPr>
          <xdr:cNvSpPr txBox="1">
            <a:spLocks noChangeArrowheads="1"/>
          </xdr:cNvSpPr>
        </xdr:nvSpPr>
        <xdr:spPr bwMode="auto">
          <a:xfrm>
            <a:off x="533" y="484"/>
            <a:ext cx="162" cy="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Step 5b: Select neutral conductor size.</a:t>
            </a:r>
          </a:p>
          <a:p>
            <a:pPr algn="ctr" rtl="0">
              <a:defRPr sz="1000"/>
            </a:pPr>
            <a:endParaRPr lang="en-US" sz="1000" b="1" i="0" u="none" strike="noStrike" baseline="0">
              <a:solidFill>
                <a:srgbClr val="000000"/>
              </a:solidFill>
              <a:latin typeface="Arial"/>
              <a:cs typeface="Arial"/>
            </a:endParaRPr>
          </a:p>
        </xdr:txBody>
      </xdr:sp>
    </xdr:grpSp>
    <xdr:clientData/>
  </xdr:twoCellAnchor>
  <xdr:twoCellAnchor>
    <xdr:from>
      <xdr:col>6</xdr:col>
      <xdr:colOff>314325</xdr:colOff>
      <xdr:row>26</xdr:row>
      <xdr:rowOff>0</xdr:rowOff>
    </xdr:from>
    <xdr:to>
      <xdr:col>9</xdr:col>
      <xdr:colOff>85725</xdr:colOff>
      <xdr:row>28</xdr:row>
      <xdr:rowOff>152400</xdr:rowOff>
    </xdr:to>
    <xdr:grpSp>
      <xdr:nvGrpSpPr>
        <xdr:cNvPr id="1839" name="Group 101">
          <a:extLst>
            <a:ext uri="{FF2B5EF4-FFF2-40B4-BE49-F238E27FC236}">
              <a16:creationId xmlns:a16="http://schemas.microsoft.com/office/drawing/2014/main" id="{00000000-0008-0000-0000-00002F070000}"/>
            </a:ext>
          </a:extLst>
        </xdr:cNvPr>
        <xdr:cNvGrpSpPr>
          <a:grpSpLocks/>
        </xdr:cNvGrpSpPr>
      </xdr:nvGrpSpPr>
      <xdr:grpSpPr bwMode="auto">
        <a:xfrm>
          <a:off x="3257550" y="4295775"/>
          <a:ext cx="1609725" cy="495300"/>
          <a:chOff x="466" y="365"/>
          <a:chExt cx="169" cy="52"/>
        </a:xfrm>
      </xdr:grpSpPr>
      <xdr:sp macro="" textlink="">
        <xdr:nvSpPr>
          <xdr:cNvPr id="1853" name="Rectangle 98">
            <a:extLst>
              <a:ext uri="{FF2B5EF4-FFF2-40B4-BE49-F238E27FC236}">
                <a16:creationId xmlns:a16="http://schemas.microsoft.com/office/drawing/2014/main" id="{00000000-0008-0000-0000-00003D070000}"/>
              </a:ext>
            </a:extLst>
          </xdr:cNvPr>
          <xdr:cNvSpPr>
            <a:spLocks noChangeArrowheads="1"/>
          </xdr:cNvSpPr>
        </xdr:nvSpPr>
        <xdr:spPr bwMode="auto">
          <a:xfrm>
            <a:off x="466" y="365"/>
            <a:ext cx="169" cy="48"/>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sp macro="" textlink="">
        <xdr:nvSpPr>
          <xdr:cNvPr id="1123" name="Text Box 99">
            <a:extLst>
              <a:ext uri="{FF2B5EF4-FFF2-40B4-BE49-F238E27FC236}">
                <a16:creationId xmlns:a16="http://schemas.microsoft.com/office/drawing/2014/main" id="{00000000-0008-0000-0000-000063040000}"/>
              </a:ext>
            </a:extLst>
          </xdr:cNvPr>
          <xdr:cNvSpPr txBox="1">
            <a:spLocks noChangeArrowheads="1"/>
          </xdr:cNvSpPr>
        </xdr:nvSpPr>
        <xdr:spPr bwMode="auto">
          <a:xfrm>
            <a:off x="472" y="372"/>
            <a:ext cx="156" cy="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Step 5a: Select phase </a:t>
            </a:r>
          </a:p>
          <a:p>
            <a:pPr algn="ctr" rtl="0">
              <a:defRPr sz="1000"/>
            </a:pPr>
            <a:r>
              <a:rPr lang="en-US" sz="1000" b="1" i="0" u="none" strike="noStrike" baseline="0">
                <a:solidFill>
                  <a:srgbClr val="000000"/>
                </a:solidFill>
                <a:latin typeface="Arial"/>
                <a:cs typeface="Arial"/>
              </a:rPr>
              <a:t>conductor size size.</a:t>
            </a:r>
          </a:p>
        </xdr:txBody>
      </xdr:sp>
    </xdr:grpSp>
    <xdr:clientData/>
  </xdr:twoCellAnchor>
  <xdr:twoCellAnchor>
    <xdr:from>
      <xdr:col>7</xdr:col>
      <xdr:colOff>466725</xdr:colOff>
      <xdr:row>20</xdr:row>
      <xdr:rowOff>161925</xdr:rowOff>
    </xdr:from>
    <xdr:to>
      <xdr:col>10</xdr:col>
      <xdr:colOff>514350</xdr:colOff>
      <xdr:row>23</xdr:row>
      <xdr:rowOff>152400</xdr:rowOff>
    </xdr:to>
    <xdr:sp macro="" textlink="">
      <xdr:nvSpPr>
        <xdr:cNvPr id="1840" name="Line 102">
          <a:extLst>
            <a:ext uri="{FF2B5EF4-FFF2-40B4-BE49-F238E27FC236}">
              <a16:creationId xmlns:a16="http://schemas.microsoft.com/office/drawing/2014/main" id="{00000000-0008-0000-0000-000030070000}"/>
            </a:ext>
          </a:extLst>
        </xdr:cNvPr>
        <xdr:cNvSpPr>
          <a:spLocks noChangeShapeType="1"/>
        </xdr:cNvSpPr>
      </xdr:nvSpPr>
      <xdr:spPr bwMode="auto">
        <a:xfrm flipV="1">
          <a:off x="4019550" y="3429000"/>
          <a:ext cx="1885950" cy="50482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457200</xdr:colOff>
      <xdr:row>23</xdr:row>
      <xdr:rowOff>152400</xdr:rowOff>
    </xdr:from>
    <xdr:to>
      <xdr:col>7</xdr:col>
      <xdr:colOff>457200</xdr:colOff>
      <xdr:row>26</xdr:row>
      <xdr:rowOff>0</xdr:rowOff>
    </xdr:to>
    <xdr:sp macro="" textlink="">
      <xdr:nvSpPr>
        <xdr:cNvPr id="1841" name="Line 103">
          <a:extLst>
            <a:ext uri="{FF2B5EF4-FFF2-40B4-BE49-F238E27FC236}">
              <a16:creationId xmlns:a16="http://schemas.microsoft.com/office/drawing/2014/main" id="{00000000-0008-0000-0000-000031070000}"/>
            </a:ext>
          </a:extLst>
        </xdr:cNvPr>
        <xdr:cNvSpPr>
          <a:spLocks noChangeShapeType="1"/>
        </xdr:cNvSpPr>
      </xdr:nvSpPr>
      <xdr:spPr bwMode="auto">
        <a:xfrm>
          <a:off x="4010025" y="3933825"/>
          <a:ext cx="0" cy="3619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95250</xdr:colOff>
      <xdr:row>24</xdr:row>
      <xdr:rowOff>47625</xdr:rowOff>
    </xdr:from>
    <xdr:to>
      <xdr:col>10</xdr:col>
      <xdr:colOff>542925</xdr:colOff>
      <xdr:row>27</xdr:row>
      <xdr:rowOff>76200</xdr:rowOff>
    </xdr:to>
    <xdr:sp macro="" textlink="">
      <xdr:nvSpPr>
        <xdr:cNvPr id="1842" name="Line 104">
          <a:extLst>
            <a:ext uri="{FF2B5EF4-FFF2-40B4-BE49-F238E27FC236}">
              <a16:creationId xmlns:a16="http://schemas.microsoft.com/office/drawing/2014/main" id="{00000000-0008-0000-0000-000032070000}"/>
            </a:ext>
          </a:extLst>
        </xdr:cNvPr>
        <xdr:cNvSpPr>
          <a:spLocks noChangeShapeType="1"/>
        </xdr:cNvSpPr>
      </xdr:nvSpPr>
      <xdr:spPr bwMode="auto">
        <a:xfrm flipV="1">
          <a:off x="5486400" y="4000500"/>
          <a:ext cx="447675" cy="54292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152400</xdr:colOff>
      <xdr:row>29</xdr:row>
      <xdr:rowOff>76200</xdr:rowOff>
    </xdr:from>
    <xdr:to>
      <xdr:col>7</xdr:col>
      <xdr:colOff>314325</xdr:colOff>
      <xdr:row>33</xdr:row>
      <xdr:rowOff>114300</xdr:rowOff>
    </xdr:to>
    <xdr:sp macro="" textlink="">
      <xdr:nvSpPr>
        <xdr:cNvPr id="1843" name="Rectangle 107">
          <a:extLst>
            <a:ext uri="{FF2B5EF4-FFF2-40B4-BE49-F238E27FC236}">
              <a16:creationId xmlns:a16="http://schemas.microsoft.com/office/drawing/2014/main" id="{00000000-0008-0000-0000-000033070000}"/>
            </a:ext>
          </a:extLst>
        </xdr:cNvPr>
        <xdr:cNvSpPr>
          <a:spLocks noChangeArrowheads="1"/>
        </xdr:cNvSpPr>
      </xdr:nvSpPr>
      <xdr:spPr bwMode="auto">
        <a:xfrm>
          <a:off x="1962150" y="4886325"/>
          <a:ext cx="1905000" cy="723900"/>
        </a:xfrm>
        <a:prstGeom prst="rect">
          <a:avLst/>
        </a:prstGeom>
        <a:solidFill>
          <a:srgbClr xmlns:mc="http://schemas.openxmlformats.org/markup-compatibility/2006" xmlns:a14="http://schemas.microsoft.com/office/drawing/2010/main" val="FFFFFF" mc:Ignorable="a14" a14:legacySpreadsheetColorIndex="9"/>
        </a:solidFill>
        <a:ln w="28575">
          <a:solidFill>
            <a:srgbClr xmlns:mc="http://schemas.openxmlformats.org/markup-compatibility/2006" xmlns:a14="http://schemas.microsoft.com/office/drawing/2010/main" val="FF6600" mc:Ignorable="a14" a14:legacySpreadsheetColorIndex="53"/>
          </a:solidFill>
          <a:miter lim="800000"/>
          <a:headEnd/>
          <a:tailEnd/>
        </a:ln>
        <a:effectLst>
          <a:outerShdw dist="107763" dir="2700000" algn="ctr" rotWithShape="0">
            <a:srgbClr val="808080"/>
          </a:outerShdw>
        </a:effectLst>
      </xdr:spPr>
    </xdr:sp>
    <xdr:clientData/>
  </xdr:twoCellAnchor>
  <xdr:twoCellAnchor>
    <xdr:from>
      <xdr:col>4</xdr:col>
      <xdr:colOff>257175</xdr:colOff>
      <xdr:row>29</xdr:row>
      <xdr:rowOff>152400</xdr:rowOff>
    </xdr:from>
    <xdr:to>
      <xdr:col>7</xdr:col>
      <xdr:colOff>171450</xdr:colOff>
      <xdr:row>33</xdr:row>
      <xdr:rowOff>47625</xdr:rowOff>
    </xdr:to>
    <xdr:sp macro="" textlink="">
      <xdr:nvSpPr>
        <xdr:cNvPr id="1132" name="Text Box 108">
          <a:extLst>
            <a:ext uri="{FF2B5EF4-FFF2-40B4-BE49-F238E27FC236}">
              <a16:creationId xmlns:a16="http://schemas.microsoft.com/office/drawing/2014/main" id="{00000000-0008-0000-0000-00006C040000}"/>
            </a:ext>
          </a:extLst>
        </xdr:cNvPr>
        <xdr:cNvSpPr txBox="1">
          <a:spLocks noChangeArrowheads="1"/>
        </xdr:cNvSpPr>
      </xdr:nvSpPr>
      <xdr:spPr bwMode="auto">
        <a:xfrm>
          <a:off x="2066925" y="4962525"/>
          <a:ext cx="1657350" cy="581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FF6600" mc:Ignorable="a14" a14:legacySpreadsheetColorIndex="53"/>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Finished product</a:t>
          </a:r>
          <a:r>
            <a:rPr lang="en-US" sz="1200" b="1" i="0" u="none" strike="noStrike" baseline="0">
              <a:solidFill>
                <a:srgbClr val="000000"/>
              </a:solidFill>
              <a:latin typeface="Arial"/>
              <a:cs typeface="Arial"/>
            </a:rPr>
            <a:t> </a:t>
          </a:r>
          <a:r>
            <a:rPr lang="en-US" sz="1000" b="1" i="0" u="none" strike="noStrike" baseline="0">
              <a:solidFill>
                <a:srgbClr val="000000"/>
              </a:solidFill>
              <a:latin typeface="Arial"/>
              <a:cs typeface="Arial"/>
            </a:rPr>
            <a:t> </a:t>
          </a:r>
        </a:p>
        <a:p>
          <a:pPr algn="ctr" rtl="0">
            <a:defRPr sz="1000"/>
          </a:pPr>
          <a:r>
            <a:rPr lang="en-US" sz="1100" b="1" i="0" u="none" strike="noStrike" baseline="0">
              <a:solidFill>
                <a:srgbClr val="000000"/>
              </a:solidFill>
              <a:latin typeface="Arial"/>
              <a:cs typeface="Arial"/>
            </a:rPr>
            <a:t>CALCULATED FAULT CURRENT</a:t>
          </a:r>
        </a:p>
      </xdr:txBody>
    </xdr:sp>
    <xdr:clientData/>
  </xdr:twoCellAnchor>
  <xdr:twoCellAnchor>
    <xdr:from>
      <xdr:col>0</xdr:col>
      <xdr:colOff>123825</xdr:colOff>
      <xdr:row>1</xdr:row>
      <xdr:rowOff>114300</xdr:rowOff>
    </xdr:from>
    <xdr:to>
      <xdr:col>4</xdr:col>
      <xdr:colOff>390525</xdr:colOff>
      <xdr:row>6</xdr:row>
      <xdr:rowOff>66675</xdr:rowOff>
    </xdr:to>
    <xdr:sp macro="" textlink="">
      <xdr:nvSpPr>
        <xdr:cNvPr id="1845" name="Rectangle 109">
          <a:extLst>
            <a:ext uri="{FF2B5EF4-FFF2-40B4-BE49-F238E27FC236}">
              <a16:creationId xmlns:a16="http://schemas.microsoft.com/office/drawing/2014/main" id="{00000000-0008-0000-0000-000035070000}"/>
            </a:ext>
          </a:extLst>
        </xdr:cNvPr>
        <xdr:cNvSpPr>
          <a:spLocks noChangeArrowheads="1"/>
        </xdr:cNvSpPr>
      </xdr:nvSpPr>
      <xdr:spPr bwMode="auto">
        <a:xfrm>
          <a:off x="123825" y="200025"/>
          <a:ext cx="2076450" cy="7429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clientData/>
  </xdr:twoCellAnchor>
  <xdr:twoCellAnchor>
    <xdr:from>
      <xdr:col>1</xdr:col>
      <xdr:colOff>95250</xdr:colOff>
      <xdr:row>2</xdr:row>
      <xdr:rowOff>38100</xdr:rowOff>
    </xdr:from>
    <xdr:to>
      <xdr:col>4</xdr:col>
      <xdr:colOff>209550</xdr:colOff>
      <xdr:row>5</xdr:row>
      <xdr:rowOff>257175</xdr:rowOff>
    </xdr:to>
    <xdr:sp macro="" textlink="">
      <xdr:nvSpPr>
        <xdr:cNvPr id="1134" name="Rectangle 110">
          <a:extLst>
            <a:ext uri="{FF2B5EF4-FFF2-40B4-BE49-F238E27FC236}">
              <a16:creationId xmlns:a16="http://schemas.microsoft.com/office/drawing/2014/main" id="{00000000-0008-0000-0000-00006E040000}"/>
            </a:ext>
          </a:extLst>
        </xdr:cNvPr>
        <xdr:cNvSpPr>
          <a:spLocks noChangeArrowheads="1"/>
        </xdr:cNvSpPr>
      </xdr:nvSpPr>
      <xdr:spPr bwMode="auto">
        <a:xfrm>
          <a:off x="285750" y="304800"/>
          <a:ext cx="1733550" cy="5334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FF"/>
              </a:solidFill>
              <a:latin typeface="Arial"/>
              <a:cs typeface="Arial"/>
            </a:rPr>
            <a:t>Personalize by entering</a:t>
          </a:r>
        </a:p>
        <a:p>
          <a:pPr algn="ctr" rtl="0">
            <a:defRPr sz="1000"/>
          </a:pPr>
          <a:r>
            <a:rPr lang="en-US" sz="1000" b="1" i="0" u="none" strike="noStrike" baseline="0">
              <a:solidFill>
                <a:srgbClr val="0000FF"/>
              </a:solidFill>
              <a:latin typeface="Arial"/>
              <a:cs typeface="Arial"/>
            </a:rPr>
            <a:t>the 'Job Name' and </a:t>
          </a:r>
        </a:p>
        <a:p>
          <a:pPr algn="ctr" rtl="0">
            <a:defRPr sz="1000"/>
          </a:pPr>
          <a:r>
            <a:rPr lang="en-US" sz="1000" b="1" i="0" u="none" strike="noStrike" baseline="0">
              <a:solidFill>
                <a:srgbClr val="0000FF"/>
              </a:solidFill>
              <a:latin typeface="Arial"/>
              <a:cs typeface="Arial"/>
            </a:rPr>
            <a:t> 'Your Company Name'</a:t>
          </a:r>
        </a:p>
      </xdr:txBody>
    </xdr:sp>
    <xdr:clientData/>
  </xdr:twoCellAnchor>
  <xdr:twoCellAnchor>
    <xdr:from>
      <xdr:col>4</xdr:col>
      <xdr:colOff>390525</xdr:colOff>
      <xdr:row>1</xdr:row>
      <xdr:rowOff>76200</xdr:rowOff>
    </xdr:from>
    <xdr:to>
      <xdr:col>5</xdr:col>
      <xdr:colOff>257175</xdr:colOff>
      <xdr:row>3</xdr:row>
      <xdr:rowOff>47625</xdr:rowOff>
    </xdr:to>
    <xdr:sp macro="" textlink="">
      <xdr:nvSpPr>
        <xdr:cNvPr id="1847" name="Line 111">
          <a:extLst>
            <a:ext uri="{FF2B5EF4-FFF2-40B4-BE49-F238E27FC236}">
              <a16:creationId xmlns:a16="http://schemas.microsoft.com/office/drawing/2014/main" id="{00000000-0008-0000-0000-000037070000}"/>
            </a:ext>
          </a:extLst>
        </xdr:cNvPr>
        <xdr:cNvSpPr>
          <a:spLocks noChangeShapeType="1"/>
        </xdr:cNvSpPr>
      </xdr:nvSpPr>
      <xdr:spPr bwMode="auto">
        <a:xfrm flipV="1">
          <a:off x="2200275" y="161925"/>
          <a:ext cx="390525" cy="2190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400050</xdr:colOff>
      <xdr:row>3</xdr:row>
      <xdr:rowOff>66675</xdr:rowOff>
    </xdr:from>
    <xdr:to>
      <xdr:col>5</xdr:col>
      <xdr:colOff>266700</xdr:colOff>
      <xdr:row>5</xdr:row>
      <xdr:rowOff>38100</xdr:rowOff>
    </xdr:to>
    <xdr:sp macro="" textlink="">
      <xdr:nvSpPr>
        <xdr:cNvPr id="1848" name="Line 112">
          <a:extLst>
            <a:ext uri="{FF2B5EF4-FFF2-40B4-BE49-F238E27FC236}">
              <a16:creationId xmlns:a16="http://schemas.microsoft.com/office/drawing/2014/main" id="{00000000-0008-0000-0000-000038070000}"/>
            </a:ext>
          </a:extLst>
        </xdr:cNvPr>
        <xdr:cNvSpPr>
          <a:spLocks noChangeShapeType="1"/>
        </xdr:cNvSpPr>
      </xdr:nvSpPr>
      <xdr:spPr bwMode="auto">
        <a:xfrm flipV="1">
          <a:off x="2209800" y="400050"/>
          <a:ext cx="390525" cy="2190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457200</xdr:colOff>
      <xdr:row>39</xdr:row>
      <xdr:rowOff>114300</xdr:rowOff>
    </xdr:from>
    <xdr:to>
      <xdr:col>5</xdr:col>
      <xdr:colOff>390525</xdr:colOff>
      <xdr:row>42</xdr:row>
      <xdr:rowOff>133350</xdr:rowOff>
    </xdr:to>
    <xdr:sp macro="" textlink="">
      <xdr:nvSpPr>
        <xdr:cNvPr id="1849" name="Rectangle 113">
          <a:extLst>
            <a:ext uri="{FF2B5EF4-FFF2-40B4-BE49-F238E27FC236}">
              <a16:creationId xmlns:a16="http://schemas.microsoft.com/office/drawing/2014/main" id="{00000000-0008-0000-0000-000039070000}"/>
            </a:ext>
          </a:extLst>
        </xdr:cNvPr>
        <xdr:cNvSpPr>
          <a:spLocks noChangeArrowheads="1"/>
        </xdr:cNvSpPr>
      </xdr:nvSpPr>
      <xdr:spPr bwMode="auto">
        <a:xfrm>
          <a:off x="647700" y="6657975"/>
          <a:ext cx="2076450" cy="5334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clientData/>
  </xdr:twoCellAnchor>
  <xdr:twoCellAnchor>
    <xdr:from>
      <xdr:col>1</xdr:col>
      <xdr:colOff>552450</xdr:colOff>
      <xdr:row>40</xdr:row>
      <xdr:rowOff>38100</xdr:rowOff>
    </xdr:from>
    <xdr:to>
      <xdr:col>5</xdr:col>
      <xdr:colOff>314325</xdr:colOff>
      <xdr:row>42</xdr:row>
      <xdr:rowOff>47625</xdr:rowOff>
    </xdr:to>
    <xdr:sp macro="" textlink="">
      <xdr:nvSpPr>
        <xdr:cNvPr id="1138" name="Text Box 114">
          <a:extLst>
            <a:ext uri="{FF2B5EF4-FFF2-40B4-BE49-F238E27FC236}">
              <a16:creationId xmlns:a16="http://schemas.microsoft.com/office/drawing/2014/main" id="{00000000-0008-0000-0000-000072040000}"/>
            </a:ext>
          </a:extLst>
        </xdr:cNvPr>
        <xdr:cNvSpPr txBox="1">
          <a:spLocks noChangeArrowheads="1"/>
        </xdr:cNvSpPr>
      </xdr:nvSpPr>
      <xdr:spPr bwMode="auto">
        <a:xfrm>
          <a:off x="742950" y="6753225"/>
          <a:ext cx="190500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Continue by entering next point to point</a:t>
          </a:r>
        </a:p>
        <a:p>
          <a:pPr algn="ctr" rtl="0">
            <a:defRPr sz="1000"/>
          </a:pPr>
          <a:endParaRPr lang="en-US" sz="1000" b="1" i="0" u="none" strike="noStrike" baseline="0">
            <a:solidFill>
              <a:srgbClr val="000000"/>
            </a:solidFill>
            <a:latin typeface="Arial"/>
            <a:cs typeface="Arial"/>
          </a:endParaRPr>
        </a:p>
      </xdr:txBody>
    </xdr:sp>
    <xdr:clientData/>
  </xdr:twoCellAnchor>
  <xdr:twoCellAnchor>
    <xdr:from>
      <xdr:col>3</xdr:col>
      <xdr:colOff>314325</xdr:colOff>
      <xdr:row>37</xdr:row>
      <xdr:rowOff>9525</xdr:rowOff>
    </xdr:from>
    <xdr:to>
      <xdr:col>4</xdr:col>
      <xdr:colOff>333375</xdr:colOff>
      <xdr:row>39</xdr:row>
      <xdr:rowOff>114300</xdr:rowOff>
    </xdr:to>
    <xdr:sp macro="" textlink="">
      <xdr:nvSpPr>
        <xdr:cNvPr id="1851" name="Line 115">
          <a:extLst>
            <a:ext uri="{FF2B5EF4-FFF2-40B4-BE49-F238E27FC236}">
              <a16:creationId xmlns:a16="http://schemas.microsoft.com/office/drawing/2014/main" id="{00000000-0008-0000-0000-00003B070000}"/>
            </a:ext>
          </a:extLst>
        </xdr:cNvPr>
        <xdr:cNvSpPr>
          <a:spLocks noChangeShapeType="1"/>
        </xdr:cNvSpPr>
      </xdr:nvSpPr>
      <xdr:spPr bwMode="auto">
        <a:xfrm flipV="1">
          <a:off x="1800225" y="6210300"/>
          <a:ext cx="342900" cy="4476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352425</xdr:colOff>
      <xdr:row>10</xdr:row>
      <xdr:rowOff>104775</xdr:rowOff>
    </xdr:from>
    <xdr:to>
      <xdr:col>7</xdr:col>
      <xdr:colOff>590550</xdr:colOff>
      <xdr:row>12</xdr:row>
      <xdr:rowOff>76200</xdr:rowOff>
    </xdr:to>
    <xdr:sp macro="" textlink="">
      <xdr:nvSpPr>
        <xdr:cNvPr id="1852" name="Line 116">
          <a:extLst>
            <a:ext uri="{FF2B5EF4-FFF2-40B4-BE49-F238E27FC236}">
              <a16:creationId xmlns:a16="http://schemas.microsoft.com/office/drawing/2014/main" id="{00000000-0008-0000-0000-00003C070000}"/>
            </a:ext>
          </a:extLst>
        </xdr:cNvPr>
        <xdr:cNvSpPr>
          <a:spLocks noChangeShapeType="1"/>
        </xdr:cNvSpPr>
      </xdr:nvSpPr>
      <xdr:spPr bwMode="auto">
        <a:xfrm>
          <a:off x="3905250" y="1666875"/>
          <a:ext cx="238125" cy="31432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542925</xdr:colOff>
          <xdr:row>19</xdr:row>
          <xdr:rowOff>142875</xdr:rowOff>
        </xdr:from>
        <xdr:to>
          <xdr:col>11</xdr:col>
          <xdr:colOff>666750</xdr:colOff>
          <xdr:row>21</xdr:row>
          <xdr:rowOff>0</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561975</xdr:colOff>
          <xdr:row>40</xdr:row>
          <xdr:rowOff>161925</xdr:rowOff>
        </xdr:from>
        <xdr:to>
          <xdr:col>11</xdr:col>
          <xdr:colOff>666750</xdr:colOff>
          <xdr:row>42</xdr:row>
          <xdr:rowOff>19050</xdr:rowOff>
        </xdr:to>
        <xdr:sp macro="" textlink="">
          <xdr:nvSpPr>
            <xdr:cNvPr id="2050" name="Drop Dow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16</xdr:row>
          <xdr:rowOff>161925</xdr:rowOff>
        </xdr:from>
        <xdr:to>
          <xdr:col>11</xdr:col>
          <xdr:colOff>657225</xdr:colOff>
          <xdr:row>18</xdr:row>
          <xdr:rowOff>19050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35</xdr:row>
          <xdr:rowOff>152400</xdr:rowOff>
        </xdr:from>
        <xdr:to>
          <xdr:col>11</xdr:col>
          <xdr:colOff>666750</xdr:colOff>
          <xdr:row>37</xdr:row>
          <xdr:rowOff>9525</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15</xdr:row>
          <xdr:rowOff>95250</xdr:rowOff>
        </xdr:from>
        <xdr:to>
          <xdr:col>11</xdr:col>
          <xdr:colOff>657225</xdr:colOff>
          <xdr:row>16</xdr:row>
          <xdr:rowOff>123825</xdr:rowOff>
        </xdr:to>
        <xdr:sp macro="" textlink="">
          <xdr:nvSpPr>
            <xdr:cNvPr id="2053" name="Drop Dow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542925</xdr:colOff>
          <xdr:row>22</xdr:row>
          <xdr:rowOff>161925</xdr:rowOff>
        </xdr:from>
        <xdr:to>
          <xdr:col>11</xdr:col>
          <xdr:colOff>666750</xdr:colOff>
          <xdr:row>24</xdr:row>
          <xdr:rowOff>19050</xdr:rowOff>
        </xdr:to>
        <xdr:sp macro="" textlink="">
          <xdr:nvSpPr>
            <xdr:cNvPr id="2054" name="Drop Down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561975</xdr:colOff>
          <xdr:row>43</xdr:row>
          <xdr:rowOff>142875</xdr:rowOff>
        </xdr:from>
        <xdr:to>
          <xdr:col>11</xdr:col>
          <xdr:colOff>666750</xdr:colOff>
          <xdr:row>45</xdr:row>
          <xdr:rowOff>0</xdr:rowOff>
        </xdr:to>
        <xdr:sp macro="" textlink="">
          <xdr:nvSpPr>
            <xdr:cNvPr id="2055" name="Drop Down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390525</xdr:colOff>
          <xdr:row>37</xdr:row>
          <xdr:rowOff>19050</xdr:rowOff>
        </xdr:from>
        <xdr:to>
          <xdr:col>11</xdr:col>
          <xdr:colOff>666750</xdr:colOff>
          <xdr:row>38</xdr:row>
          <xdr:rowOff>47625</xdr:rowOff>
        </xdr:to>
        <xdr:sp macro="" textlink="">
          <xdr:nvSpPr>
            <xdr:cNvPr id="2056" name="Drop Down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63</xdr:row>
          <xdr:rowOff>161925</xdr:rowOff>
        </xdr:from>
        <xdr:to>
          <xdr:col>11</xdr:col>
          <xdr:colOff>676275</xdr:colOff>
          <xdr:row>65</xdr:row>
          <xdr:rowOff>9525</xdr:rowOff>
        </xdr:to>
        <xdr:sp macro="" textlink="">
          <xdr:nvSpPr>
            <xdr:cNvPr id="2057" name="Drop Down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58</xdr:row>
          <xdr:rowOff>152400</xdr:rowOff>
        </xdr:from>
        <xdr:to>
          <xdr:col>11</xdr:col>
          <xdr:colOff>676275</xdr:colOff>
          <xdr:row>60</xdr:row>
          <xdr:rowOff>0</xdr:rowOff>
        </xdr:to>
        <xdr:sp macro="" textlink="">
          <xdr:nvSpPr>
            <xdr:cNvPr id="2058" name="Drop Down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533400</xdr:colOff>
          <xdr:row>66</xdr:row>
          <xdr:rowOff>142875</xdr:rowOff>
        </xdr:from>
        <xdr:to>
          <xdr:col>11</xdr:col>
          <xdr:colOff>676275</xdr:colOff>
          <xdr:row>67</xdr:row>
          <xdr:rowOff>171450</xdr:rowOff>
        </xdr:to>
        <xdr:sp macro="" textlink="">
          <xdr:nvSpPr>
            <xdr:cNvPr id="2059" name="Drop Down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390525</xdr:colOff>
          <xdr:row>60</xdr:row>
          <xdr:rowOff>85725</xdr:rowOff>
        </xdr:from>
        <xdr:to>
          <xdr:col>11</xdr:col>
          <xdr:colOff>676275</xdr:colOff>
          <xdr:row>61</xdr:row>
          <xdr:rowOff>104775</xdr:rowOff>
        </xdr:to>
        <xdr:sp macro="" textlink="">
          <xdr:nvSpPr>
            <xdr:cNvPr id="2060" name="Drop Down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xdr:twoCellAnchor>
    <xdr:from>
      <xdr:col>7</xdr:col>
      <xdr:colOff>438150</xdr:colOff>
      <xdr:row>31</xdr:row>
      <xdr:rowOff>66675</xdr:rowOff>
    </xdr:from>
    <xdr:to>
      <xdr:col>8</xdr:col>
      <xdr:colOff>552450</xdr:colOff>
      <xdr:row>31</xdr:row>
      <xdr:rowOff>66675</xdr:rowOff>
    </xdr:to>
    <xdr:sp macro="" textlink="">
      <xdr:nvSpPr>
        <xdr:cNvPr id="2248" name="Line 45">
          <a:extLst>
            <a:ext uri="{FF2B5EF4-FFF2-40B4-BE49-F238E27FC236}">
              <a16:creationId xmlns:a16="http://schemas.microsoft.com/office/drawing/2014/main" id="{00000000-0008-0000-0100-0000C8080000}"/>
            </a:ext>
          </a:extLst>
        </xdr:cNvPr>
        <xdr:cNvSpPr>
          <a:spLocks noChangeShapeType="1"/>
        </xdr:cNvSpPr>
      </xdr:nvSpPr>
      <xdr:spPr bwMode="auto">
        <a:xfrm>
          <a:off x="3990975" y="5229225"/>
          <a:ext cx="723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438150</xdr:colOff>
      <xdr:row>32</xdr:row>
      <xdr:rowOff>66675</xdr:rowOff>
    </xdr:from>
    <xdr:to>
      <xdr:col>8</xdr:col>
      <xdr:colOff>552450</xdr:colOff>
      <xdr:row>32</xdr:row>
      <xdr:rowOff>66675</xdr:rowOff>
    </xdr:to>
    <xdr:sp macro="" textlink="">
      <xdr:nvSpPr>
        <xdr:cNvPr id="2249" name="Line 46">
          <a:extLst>
            <a:ext uri="{FF2B5EF4-FFF2-40B4-BE49-F238E27FC236}">
              <a16:creationId xmlns:a16="http://schemas.microsoft.com/office/drawing/2014/main" id="{00000000-0008-0000-0100-0000C9080000}"/>
            </a:ext>
          </a:extLst>
        </xdr:cNvPr>
        <xdr:cNvSpPr>
          <a:spLocks noChangeShapeType="1"/>
        </xdr:cNvSpPr>
      </xdr:nvSpPr>
      <xdr:spPr bwMode="auto">
        <a:xfrm>
          <a:off x="3990975" y="5400675"/>
          <a:ext cx="723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5</xdr:col>
          <xdr:colOff>600075</xdr:colOff>
          <xdr:row>17</xdr:row>
          <xdr:rowOff>9525</xdr:rowOff>
        </xdr:from>
        <xdr:to>
          <xdr:col>7</xdr:col>
          <xdr:colOff>95250</xdr:colOff>
          <xdr:row>18</xdr:row>
          <xdr:rowOff>38100</xdr:rowOff>
        </xdr:to>
        <xdr:sp macro="" textlink="">
          <xdr:nvSpPr>
            <xdr:cNvPr id="2095" name="Drop Down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13" Type="http://schemas.openxmlformats.org/officeDocument/2006/relationships/ctrlProp" Target="../ctrlProps/ctrlProp5.xml"/><Relationship Id="rId18" Type="http://schemas.openxmlformats.org/officeDocument/2006/relationships/ctrlProp" Target="../ctrlProps/ctrlProp10.xml"/><Relationship Id="rId3" Type="http://schemas.openxmlformats.org/officeDocument/2006/relationships/printerSettings" Target="../printerSettings/printerSettings3.bin"/><Relationship Id="rId21" Type="http://schemas.openxmlformats.org/officeDocument/2006/relationships/comments" Target="../comments1.xml"/><Relationship Id="rId7" Type="http://schemas.openxmlformats.org/officeDocument/2006/relationships/drawing" Target="../drawings/drawing1.xml"/><Relationship Id="rId12" Type="http://schemas.openxmlformats.org/officeDocument/2006/relationships/ctrlProp" Target="../ctrlProps/ctrlProp4.xml"/><Relationship Id="rId17" Type="http://schemas.openxmlformats.org/officeDocument/2006/relationships/ctrlProp" Target="../ctrlProps/ctrlProp9.xml"/><Relationship Id="rId2" Type="http://schemas.openxmlformats.org/officeDocument/2006/relationships/printerSettings" Target="../printerSettings/printerSettings2.bin"/><Relationship Id="rId16" Type="http://schemas.openxmlformats.org/officeDocument/2006/relationships/ctrlProp" Target="../ctrlProps/ctrlProp8.xml"/><Relationship Id="rId20" Type="http://schemas.openxmlformats.org/officeDocument/2006/relationships/ctrlProp" Target="../ctrlProps/ctrlProp12.x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ctrlProp" Target="../ctrlProps/ctrlProp3.xml"/><Relationship Id="rId5" Type="http://schemas.openxmlformats.org/officeDocument/2006/relationships/printerSettings" Target="../printerSettings/printerSettings5.bin"/><Relationship Id="rId15" Type="http://schemas.openxmlformats.org/officeDocument/2006/relationships/ctrlProp" Target="../ctrlProps/ctrlProp7.xml"/><Relationship Id="rId10" Type="http://schemas.openxmlformats.org/officeDocument/2006/relationships/ctrlProp" Target="../ctrlProps/ctrlProp2.xml"/><Relationship Id="rId19" Type="http://schemas.openxmlformats.org/officeDocument/2006/relationships/ctrlProp" Target="../ctrlProps/ctrlProp11.xml"/><Relationship Id="rId4" Type="http://schemas.openxmlformats.org/officeDocument/2006/relationships/printerSettings" Target="../printerSettings/printerSettings4.bin"/><Relationship Id="rId9" Type="http://schemas.openxmlformats.org/officeDocument/2006/relationships/ctrlProp" Target="../ctrlProps/ctrlProp1.xml"/><Relationship Id="rId14"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13" Type="http://schemas.openxmlformats.org/officeDocument/2006/relationships/ctrlProp" Target="../ctrlProps/ctrlProp16.xml"/><Relationship Id="rId18" Type="http://schemas.openxmlformats.org/officeDocument/2006/relationships/ctrlProp" Target="../ctrlProps/ctrlProp21.xml"/><Relationship Id="rId3" Type="http://schemas.openxmlformats.org/officeDocument/2006/relationships/printerSettings" Target="../printerSettings/printerSettings9.bin"/><Relationship Id="rId21" Type="http://schemas.openxmlformats.org/officeDocument/2006/relationships/ctrlProp" Target="../ctrlProps/ctrlProp24.xml"/><Relationship Id="rId7" Type="http://schemas.openxmlformats.org/officeDocument/2006/relationships/printerSettings" Target="../printerSettings/printerSettings12.bin"/><Relationship Id="rId12" Type="http://schemas.openxmlformats.org/officeDocument/2006/relationships/ctrlProp" Target="../ctrlProps/ctrlProp15.xml"/><Relationship Id="rId17" Type="http://schemas.openxmlformats.org/officeDocument/2006/relationships/ctrlProp" Target="../ctrlProps/ctrlProp20.xml"/><Relationship Id="rId2" Type="http://schemas.openxmlformats.org/officeDocument/2006/relationships/printerSettings" Target="../printerSettings/printerSettings8.bin"/><Relationship Id="rId16" Type="http://schemas.openxmlformats.org/officeDocument/2006/relationships/ctrlProp" Target="../ctrlProps/ctrlProp19.xml"/><Relationship Id="rId20" Type="http://schemas.openxmlformats.org/officeDocument/2006/relationships/ctrlProp" Target="../ctrlProps/ctrlProp23.xml"/><Relationship Id="rId1" Type="http://schemas.openxmlformats.org/officeDocument/2006/relationships/printerSettings" Target="../printerSettings/printerSettings7.bin"/><Relationship Id="rId6" Type="http://schemas.openxmlformats.org/officeDocument/2006/relationships/hyperlink" Target="mailto:jmp1jds@comcast.net" TargetMode="External"/><Relationship Id="rId11" Type="http://schemas.openxmlformats.org/officeDocument/2006/relationships/ctrlProp" Target="../ctrlProps/ctrlProp14.xml"/><Relationship Id="rId5" Type="http://schemas.openxmlformats.org/officeDocument/2006/relationships/printerSettings" Target="../printerSettings/printerSettings11.bin"/><Relationship Id="rId15" Type="http://schemas.openxmlformats.org/officeDocument/2006/relationships/ctrlProp" Target="../ctrlProps/ctrlProp18.xml"/><Relationship Id="rId23" Type="http://schemas.openxmlformats.org/officeDocument/2006/relationships/comments" Target="../comments2.xml"/><Relationship Id="rId10" Type="http://schemas.openxmlformats.org/officeDocument/2006/relationships/ctrlProp" Target="../ctrlProps/ctrlProp13.xml"/><Relationship Id="rId19" Type="http://schemas.openxmlformats.org/officeDocument/2006/relationships/ctrlProp" Target="../ctrlProps/ctrlProp22.xml"/><Relationship Id="rId4" Type="http://schemas.openxmlformats.org/officeDocument/2006/relationships/printerSettings" Target="../printerSettings/printerSettings10.bin"/><Relationship Id="rId9" Type="http://schemas.openxmlformats.org/officeDocument/2006/relationships/vmlDrawing" Target="../drawings/vmlDrawing2.vml"/><Relationship Id="rId14" Type="http://schemas.openxmlformats.org/officeDocument/2006/relationships/ctrlProp" Target="../ctrlProps/ctrlProp17.xml"/><Relationship Id="rId22"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113"/>
  <sheetViews>
    <sheetView showRuler="0" workbookViewId="0">
      <selection activeCell="J21" sqref="J21:K21"/>
    </sheetView>
  </sheetViews>
  <sheetFormatPr defaultColWidth="0" defaultRowHeight="12.75" zeroHeight="1"/>
  <cols>
    <col min="1" max="1" width="2.85546875" customWidth="1"/>
    <col min="2" max="2" width="9.85546875" customWidth="1"/>
    <col min="3" max="3" width="9.5703125" customWidth="1"/>
    <col min="4" max="4" width="4.85546875" customWidth="1"/>
    <col min="5" max="5" width="7.85546875" customWidth="1"/>
    <col min="6" max="8" width="9.140625" customWidth="1"/>
    <col min="9" max="9" width="9.28515625" customWidth="1"/>
    <col min="10" max="11" width="9.140625" customWidth="1"/>
    <col min="12" max="12" width="11.42578125" customWidth="1"/>
    <col min="13" max="13" width="2.85546875" customWidth="1"/>
    <col min="14" max="14" width="1.7109375" hidden="1" customWidth="1"/>
    <col min="15" max="15" width="3" hidden="1" customWidth="1"/>
    <col min="16" max="16" width="9.7109375" hidden="1" customWidth="1"/>
    <col min="17" max="17" width="8" hidden="1" customWidth="1"/>
    <col min="18" max="18" width="8.28515625" hidden="1" customWidth="1"/>
    <col min="19" max="19" width="7.28515625" hidden="1" customWidth="1"/>
    <col min="20" max="20" width="0" hidden="1" customWidth="1"/>
    <col min="21" max="21" width="3" hidden="1" customWidth="1"/>
    <col min="22" max="22" width="5.5703125" hidden="1" customWidth="1"/>
    <col min="23" max="23" width="7.42578125" hidden="1" customWidth="1"/>
    <col min="24" max="24" width="8" hidden="1" customWidth="1"/>
    <col min="25" max="25" width="9" hidden="1" customWidth="1"/>
    <col min="26" max="26" width="0" hidden="1" customWidth="1"/>
    <col min="27" max="27" width="4.42578125" hidden="1" customWidth="1"/>
    <col min="28" max="28" width="5.28515625" hidden="1" customWidth="1"/>
    <col min="29" max="29" width="15.42578125" hidden="1" customWidth="1"/>
    <col min="30" max="30" width="4.140625" hidden="1" customWidth="1"/>
    <col min="31" max="38" width="0" hidden="1" customWidth="1"/>
    <col min="39" max="39" width="8.5703125" hidden="1" customWidth="1"/>
    <col min="40" max="130" width="0" hidden="1" customWidth="1"/>
    <col min="131" max="138" width="9.140625" style="2" customWidth="1"/>
    <col min="139" max="156" width="9.140625" hidden="1" customWidth="1"/>
    <col min="157" max="158" width="9.140625" customWidth="1"/>
    <col min="159" max="240" width="9.140625" hidden="1" customWidth="1"/>
    <col min="241" max="242" width="9.140625" style="2" hidden="1" customWidth="1"/>
    <col min="243" max="243" width="9.140625" hidden="1" customWidth="1"/>
    <col min="244" max="246" width="9.140625" style="19" hidden="1" customWidth="1"/>
    <col min="247" max="16384" width="9.140625" hidden="1"/>
  </cols>
  <sheetData>
    <row r="1" spans="1:256" ht="6.75" customHeight="1">
      <c r="A1" s="1"/>
      <c r="B1" s="1"/>
      <c r="C1" s="1"/>
      <c r="D1" s="1"/>
      <c r="E1" s="1"/>
      <c r="F1" s="1"/>
      <c r="G1" s="1"/>
      <c r="H1" s="1"/>
      <c r="I1" s="1"/>
      <c r="J1" s="1"/>
      <c r="K1" s="1"/>
      <c r="L1" s="1"/>
      <c r="M1" s="1"/>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I1" s="2"/>
      <c r="IJ1" s="3"/>
      <c r="IK1" s="3"/>
      <c r="IL1" s="3"/>
      <c r="IM1" s="2"/>
      <c r="IN1" s="2"/>
      <c r="IO1" s="2"/>
      <c r="IP1" s="2"/>
      <c r="IQ1" s="2"/>
      <c r="IR1" s="2"/>
      <c r="IS1" s="2"/>
      <c r="IT1" s="2"/>
      <c r="IU1" s="2"/>
      <c r="IV1" s="2"/>
    </row>
    <row r="2" spans="1:256" ht="14.25" customHeight="1">
      <c r="A2" s="1"/>
      <c r="B2" s="1"/>
      <c r="C2" s="247" t="s">
        <v>110</v>
      </c>
      <c r="D2" s="248"/>
      <c r="E2" s="248"/>
      <c r="F2" s="248"/>
      <c r="G2" s="249"/>
      <c r="H2" s="248"/>
      <c r="I2" s="248"/>
      <c r="J2" s="248"/>
      <c r="K2" s="250"/>
      <c r="L2" s="1"/>
      <c r="M2" s="1"/>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I2" s="2"/>
      <c r="IJ2" s="3"/>
      <c r="IK2" s="3"/>
      <c r="IL2" s="3"/>
      <c r="IM2" s="2"/>
      <c r="IN2" s="2"/>
      <c r="IO2" s="2"/>
      <c r="IP2" s="2"/>
      <c r="IQ2" s="2"/>
      <c r="IR2" s="2"/>
      <c r="IS2" s="2"/>
      <c r="IT2" s="2"/>
      <c r="IU2" s="2"/>
      <c r="IV2" s="2"/>
    </row>
    <row r="3" spans="1:256" ht="5.25" customHeight="1">
      <c r="A3" s="1"/>
      <c r="B3" s="1"/>
      <c r="C3" s="4"/>
      <c r="D3" s="4"/>
      <c r="E3" s="4"/>
      <c r="F3" s="4"/>
      <c r="G3" s="4"/>
      <c r="H3" s="4"/>
      <c r="I3" s="4"/>
      <c r="J3" s="4"/>
      <c r="K3" s="4"/>
      <c r="L3" s="1"/>
      <c r="M3" s="1"/>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I3" s="2"/>
      <c r="IJ3" s="3"/>
      <c r="IK3" s="3"/>
      <c r="IL3" s="3"/>
      <c r="IM3" s="2"/>
      <c r="IN3" s="2"/>
      <c r="IO3" s="2"/>
      <c r="IP3" s="2"/>
      <c r="IQ3" s="2"/>
      <c r="IR3" s="2"/>
      <c r="IS3" s="2"/>
      <c r="IT3" s="2"/>
      <c r="IU3" s="2"/>
      <c r="IV3" s="2"/>
    </row>
    <row r="4" spans="1:256" ht="14.25" customHeight="1">
      <c r="A4" s="1"/>
      <c r="B4" s="1"/>
      <c r="C4" s="247" t="s">
        <v>0</v>
      </c>
      <c r="D4" s="248"/>
      <c r="E4" s="248"/>
      <c r="F4" s="248"/>
      <c r="G4" s="251"/>
      <c r="H4" s="248"/>
      <c r="I4" s="248"/>
      <c r="J4" s="248"/>
      <c r="K4" s="250"/>
      <c r="L4" s="1"/>
      <c r="M4" s="1"/>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I4" s="2"/>
      <c r="IJ4" s="3"/>
      <c r="IK4" s="3"/>
      <c r="IL4" s="3"/>
      <c r="IM4" s="2"/>
      <c r="IN4" s="2"/>
      <c r="IO4" s="2"/>
      <c r="IP4" s="2"/>
      <c r="IQ4" s="2"/>
      <c r="IR4" s="2"/>
      <c r="IS4" s="2"/>
      <c r="IT4" s="2"/>
      <c r="IU4" s="2"/>
      <c r="IV4" s="2"/>
    </row>
    <row r="5" spans="1:256" ht="5.25" customHeight="1">
      <c r="A5" s="1"/>
      <c r="B5" s="1"/>
      <c r="C5" s="1"/>
      <c r="D5" s="1"/>
      <c r="E5" s="1"/>
      <c r="F5" s="5"/>
      <c r="G5" s="1"/>
      <c r="H5" s="1"/>
      <c r="I5" s="1"/>
      <c r="J5" s="1"/>
      <c r="K5" s="1"/>
      <c r="L5" s="1"/>
      <c r="M5" s="1"/>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I5" s="2"/>
      <c r="IJ5" s="3"/>
      <c r="IK5" s="3"/>
      <c r="IL5" s="3"/>
      <c r="IM5" s="2"/>
      <c r="IN5" s="2"/>
      <c r="IO5" s="2"/>
      <c r="IP5" s="2"/>
      <c r="IQ5" s="2"/>
      <c r="IR5" s="2"/>
      <c r="IS5" s="2"/>
      <c r="IT5" s="2"/>
      <c r="IU5" s="2"/>
      <c r="IV5" s="2"/>
    </row>
    <row r="6" spans="1:256" ht="23.25">
      <c r="A6" s="5"/>
      <c r="B6" s="252" t="s">
        <v>1</v>
      </c>
      <c r="C6" s="253"/>
      <c r="D6" s="253"/>
      <c r="E6" s="253"/>
      <c r="F6" s="253"/>
      <c r="G6" s="253"/>
      <c r="H6" s="253"/>
      <c r="I6" s="253"/>
      <c r="J6" s="253"/>
      <c r="K6" s="253"/>
      <c r="L6" s="254"/>
      <c r="M6" s="1"/>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I6" s="2"/>
      <c r="IJ6" s="3"/>
      <c r="IK6" s="3"/>
      <c r="IL6" s="3"/>
      <c r="IM6" s="2"/>
      <c r="IN6" s="2"/>
      <c r="IO6" s="2"/>
      <c r="IP6" s="2"/>
      <c r="IQ6" s="2"/>
      <c r="IR6" s="2"/>
      <c r="IS6" s="2"/>
      <c r="IT6" s="2"/>
      <c r="IU6" s="2"/>
      <c r="IV6" s="2"/>
    </row>
    <row r="7" spans="1:256" ht="13.5" customHeight="1">
      <c r="A7" s="5"/>
      <c r="B7" s="6"/>
      <c r="C7" s="7"/>
      <c r="D7" s="7"/>
      <c r="E7" s="7"/>
      <c r="F7" s="7"/>
      <c r="G7" s="7"/>
      <c r="H7" s="7"/>
      <c r="I7" s="7"/>
      <c r="J7" s="8" t="s">
        <v>2</v>
      </c>
      <c r="K7" s="9" t="s">
        <v>3</v>
      </c>
      <c r="L7" s="10" t="s">
        <v>4</v>
      </c>
      <c r="M7" s="1"/>
      <c r="O7" s="11"/>
      <c r="P7" s="12" t="s">
        <v>5</v>
      </c>
      <c r="Q7" s="12"/>
      <c r="R7" s="12"/>
      <c r="S7" s="13"/>
      <c r="U7" s="11"/>
      <c r="V7" s="12" t="s">
        <v>5</v>
      </c>
      <c r="W7" s="12"/>
      <c r="X7" s="12"/>
      <c r="Y7" s="13"/>
      <c r="AA7" s="14" t="s">
        <v>6</v>
      </c>
      <c r="AB7" s="15"/>
      <c r="AC7" s="16"/>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I7" s="2"/>
      <c r="IJ7" s="3"/>
      <c r="IK7" s="3"/>
      <c r="IL7" s="3"/>
      <c r="IM7" s="2"/>
      <c r="IN7" s="2"/>
      <c r="IO7" s="2"/>
      <c r="IP7" s="2"/>
      <c r="IQ7" s="2"/>
      <c r="IR7" s="2"/>
      <c r="IS7" s="2"/>
      <c r="IT7" s="2"/>
      <c r="IU7" s="2"/>
      <c r="IV7" s="2"/>
    </row>
    <row r="8" spans="1:256" ht="13.5" customHeight="1">
      <c r="A8" s="5"/>
      <c r="B8" s="91" t="s">
        <v>7</v>
      </c>
      <c r="C8" s="92"/>
      <c r="D8" s="18"/>
      <c r="E8" s="19"/>
      <c r="F8" s="20">
        <v>0</v>
      </c>
      <c r="G8" s="77" t="s">
        <v>8</v>
      </c>
      <c r="H8" s="93" t="s">
        <v>9</v>
      </c>
      <c r="I8" s="21">
        <v>300</v>
      </c>
      <c r="J8" s="18"/>
      <c r="K8" s="18"/>
      <c r="L8" s="22"/>
      <c r="M8" s="1"/>
      <c r="O8" s="11"/>
      <c r="P8" s="12" t="s">
        <v>10</v>
      </c>
      <c r="Q8" s="23"/>
      <c r="R8" s="23"/>
      <c r="S8" s="11"/>
      <c r="U8" s="11"/>
      <c r="V8" s="12" t="s">
        <v>11</v>
      </c>
      <c r="W8" s="23"/>
      <c r="X8" s="23"/>
      <c r="Y8" s="11"/>
      <c r="AA8" s="24" t="s">
        <v>12</v>
      </c>
      <c r="AB8" s="19"/>
      <c r="AC8" s="25"/>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I8" s="2"/>
      <c r="IJ8" s="3"/>
      <c r="IK8" s="3"/>
      <c r="IL8" s="3"/>
      <c r="IM8" s="2"/>
      <c r="IN8" s="2"/>
      <c r="IO8" s="2"/>
      <c r="IP8" s="2"/>
      <c r="IQ8" s="2"/>
      <c r="IR8" s="2"/>
      <c r="IS8" s="2"/>
      <c r="IT8" s="2"/>
      <c r="IU8" s="2"/>
      <c r="IV8" s="2"/>
    </row>
    <row r="9" spans="1:256" ht="13.5" customHeight="1">
      <c r="A9" s="5"/>
      <c r="B9" s="26"/>
      <c r="C9" s="18"/>
      <c r="D9" s="18"/>
      <c r="E9" s="18"/>
      <c r="F9" s="18"/>
      <c r="G9" s="18"/>
      <c r="H9" s="77" t="s">
        <v>13</v>
      </c>
      <c r="I9" s="27">
        <f>V34</f>
        <v>0</v>
      </c>
      <c r="J9" s="18"/>
      <c r="K9" s="18"/>
      <c r="L9" s="22"/>
      <c r="M9" s="1"/>
      <c r="O9" s="28"/>
      <c r="P9" s="13" t="s">
        <v>14</v>
      </c>
      <c r="Q9" s="29" t="s">
        <v>15</v>
      </c>
      <c r="R9" s="13" t="s">
        <v>16</v>
      </c>
      <c r="S9" s="11"/>
      <c r="U9" s="28"/>
      <c r="V9" s="13" t="s">
        <v>14</v>
      </c>
      <c r="W9" s="29" t="s">
        <v>15</v>
      </c>
      <c r="X9" s="30" t="s">
        <v>16</v>
      </c>
      <c r="Y9" s="11"/>
      <c r="AA9" s="24" t="s">
        <v>17</v>
      </c>
      <c r="AB9" s="19"/>
      <c r="AC9" s="25"/>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I9" s="2"/>
      <c r="IJ9" s="3"/>
      <c r="IK9" s="3"/>
      <c r="IL9" s="3"/>
      <c r="IM9" s="2"/>
      <c r="IN9" s="2"/>
      <c r="IO9" s="2"/>
      <c r="IP9" s="2"/>
      <c r="IQ9" s="2"/>
      <c r="IR9" s="2"/>
      <c r="IS9" s="2"/>
      <c r="IT9" s="2"/>
      <c r="IU9" s="2"/>
      <c r="IV9" s="2"/>
    </row>
    <row r="10" spans="1:256" ht="13.5" customHeight="1">
      <c r="A10" s="5"/>
      <c r="B10" s="78" t="s">
        <v>96</v>
      </c>
      <c r="C10" s="79"/>
      <c r="D10" s="79"/>
      <c r="E10" s="80"/>
      <c r="F10" s="79"/>
      <c r="G10" s="79" t="s">
        <v>19</v>
      </c>
      <c r="H10" s="79"/>
      <c r="I10" s="32">
        <f>V37</f>
        <v>0</v>
      </c>
      <c r="J10" s="18"/>
      <c r="K10" s="18"/>
      <c r="L10" s="22"/>
      <c r="M10" s="1"/>
      <c r="O10" s="28" t="b">
        <v>0</v>
      </c>
      <c r="P10" s="33">
        <v>14</v>
      </c>
      <c r="Q10" s="34">
        <v>389.05934043857837</v>
      </c>
      <c r="R10" s="35">
        <v>236.95649710889242</v>
      </c>
      <c r="S10" s="28" t="e">
        <f>IF(J21,R10,Q10)</f>
        <v>#VALUE!</v>
      </c>
      <c r="T10" s="36">
        <f t="shared" ref="T10:T25" si="0">IF(O10,S10,0)</f>
        <v>0</v>
      </c>
      <c r="U10" s="28" t="b">
        <v>0</v>
      </c>
      <c r="V10" s="33">
        <v>14</v>
      </c>
      <c r="W10" s="35">
        <v>389.05934043857837</v>
      </c>
      <c r="X10" s="35">
        <v>236.95649710889242</v>
      </c>
      <c r="Y10" s="28" t="e">
        <f>IF(P21,X10,W10)</f>
        <v>#VALUE!</v>
      </c>
      <c r="AA10" s="24" t="s">
        <v>20</v>
      </c>
      <c r="AB10" s="19"/>
      <c r="AC10" s="25"/>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I10" s="2"/>
      <c r="IJ10" s="3"/>
      <c r="IK10" s="3"/>
      <c r="IL10" s="3"/>
      <c r="IM10" s="2"/>
      <c r="IN10" s="2"/>
      <c r="IO10" s="2"/>
      <c r="IP10" s="2"/>
      <c r="IQ10" s="2"/>
      <c r="IR10" s="2"/>
      <c r="IS10" s="2"/>
      <c r="IT10" s="2"/>
      <c r="IU10" s="2"/>
      <c r="IV10" s="2"/>
    </row>
    <row r="11" spans="1:256" ht="13.5" customHeight="1">
      <c r="A11" s="5"/>
      <c r="B11" s="255">
        <f>V36</f>
        <v>0</v>
      </c>
      <c r="C11" s="256"/>
      <c r="D11" s="79"/>
      <c r="E11" s="80"/>
      <c r="F11" s="79" t="s">
        <v>2</v>
      </c>
      <c r="G11" s="80"/>
      <c r="H11" s="79"/>
      <c r="I11" s="18"/>
      <c r="J11" s="18"/>
      <c r="K11" s="18"/>
      <c r="L11" s="22"/>
      <c r="M11" s="1"/>
      <c r="O11" s="28" t="b">
        <v>0</v>
      </c>
      <c r="P11" s="33">
        <v>12</v>
      </c>
      <c r="Q11" s="35">
        <v>617.11951548808042</v>
      </c>
      <c r="R11" s="35">
        <v>375.90269576634142</v>
      </c>
      <c r="S11" s="37" t="e">
        <f>IF(J21,R11,Q11)</f>
        <v>#VALUE!</v>
      </c>
      <c r="T11" s="36">
        <f t="shared" si="0"/>
        <v>0</v>
      </c>
      <c r="U11" s="28" t="b">
        <v>0</v>
      </c>
      <c r="V11" s="33">
        <v>12</v>
      </c>
      <c r="W11" s="35">
        <v>617.11951548808042</v>
      </c>
      <c r="X11" s="35">
        <v>375.90269576634142</v>
      </c>
      <c r="Y11" s="37" t="e">
        <f>IF(P21,X11,W11)</f>
        <v>#VALUE!</v>
      </c>
      <c r="AA11" s="38" t="s">
        <v>21</v>
      </c>
      <c r="AB11" s="39"/>
      <c r="AC11" s="40"/>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I11" s="2"/>
      <c r="IJ11" s="3"/>
      <c r="IK11" s="3"/>
      <c r="IL11" s="3"/>
      <c r="IM11" s="2"/>
      <c r="IN11" s="2"/>
      <c r="IO11" s="2"/>
      <c r="IP11" s="2"/>
      <c r="IQ11" s="2"/>
      <c r="IR11" s="2"/>
      <c r="IS11" s="2"/>
      <c r="IT11" s="2"/>
      <c r="IU11" s="2"/>
      <c r="IV11" s="2"/>
    </row>
    <row r="12" spans="1:256" ht="13.5" customHeight="1">
      <c r="A12" s="5"/>
      <c r="B12" s="81"/>
      <c r="C12" s="79"/>
      <c r="D12" s="79"/>
      <c r="E12" s="79"/>
      <c r="F12" s="79"/>
      <c r="G12" s="79"/>
      <c r="H12" s="79"/>
      <c r="I12" s="18"/>
      <c r="J12" s="18"/>
      <c r="K12" s="18"/>
      <c r="L12" s="22"/>
      <c r="M12" s="1"/>
      <c r="O12" s="28" t="b">
        <v>0</v>
      </c>
      <c r="P12" s="33">
        <v>10</v>
      </c>
      <c r="Q12" s="35">
        <v>981.66657949248315</v>
      </c>
      <c r="R12" s="35">
        <v>598.65468595959044</v>
      </c>
      <c r="S12" s="37" t="e">
        <f>IF(J21,R12,Q12)</f>
        <v>#VALUE!</v>
      </c>
      <c r="T12" s="36">
        <f t="shared" si="0"/>
        <v>0</v>
      </c>
      <c r="U12" s="28" t="b">
        <v>0</v>
      </c>
      <c r="V12" s="33">
        <v>10</v>
      </c>
      <c r="W12" s="35">
        <v>981.66657949248315</v>
      </c>
      <c r="X12" s="34">
        <v>598.65468595959044</v>
      </c>
      <c r="Y12" s="37" t="e">
        <f>IF(P21,X12,W12)</f>
        <v>#VALUE!</v>
      </c>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I12" s="2"/>
      <c r="IJ12" s="3"/>
      <c r="IK12" s="3"/>
      <c r="IL12" s="3"/>
      <c r="IM12" s="2"/>
      <c r="IN12" s="2"/>
      <c r="IO12" s="2"/>
      <c r="IP12" s="2"/>
      <c r="IQ12" s="2"/>
      <c r="IR12" s="2"/>
      <c r="IS12" s="2"/>
      <c r="IT12" s="2"/>
      <c r="IU12" s="2"/>
      <c r="IV12" s="2"/>
    </row>
    <row r="13" spans="1:256" ht="12.75" customHeight="1">
      <c r="A13" s="5"/>
      <c r="B13" s="82" t="s">
        <v>97</v>
      </c>
      <c r="C13" s="80"/>
      <c r="D13" s="80"/>
      <c r="E13" s="257" t="s">
        <v>22</v>
      </c>
      <c r="F13" s="79"/>
      <c r="G13" s="79"/>
      <c r="H13" s="93" t="s">
        <v>129</v>
      </c>
      <c r="I13" s="101">
        <v>0.9</v>
      </c>
      <c r="J13" s="18"/>
      <c r="K13" s="18"/>
      <c r="L13" s="22"/>
      <c r="M13" s="1"/>
      <c r="O13" s="28" t="b">
        <v>0</v>
      </c>
      <c r="P13" s="33">
        <v>8</v>
      </c>
      <c r="Q13" s="35">
        <v>1558.7822320462208</v>
      </c>
      <c r="R13" s="35">
        <v>951.75787362636663</v>
      </c>
      <c r="S13" s="37" t="e">
        <f>IF(J21,R13,Q13)</f>
        <v>#VALUE!</v>
      </c>
      <c r="T13" s="36">
        <f t="shared" si="0"/>
        <v>0</v>
      </c>
      <c r="U13" s="28" t="b">
        <v>0</v>
      </c>
      <c r="V13" s="33">
        <v>8</v>
      </c>
      <c r="W13" s="35">
        <v>1558.7822320462208</v>
      </c>
      <c r="X13" s="34">
        <v>951.75787362636663</v>
      </c>
      <c r="Y13" s="37" t="e">
        <f>IF(P21,X13,W13)</f>
        <v>#VALUE!</v>
      </c>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I13" s="2"/>
      <c r="IJ13" s="3"/>
      <c r="IK13" s="3"/>
      <c r="IL13" s="3"/>
      <c r="IM13" s="2"/>
      <c r="IN13" s="2"/>
      <c r="IO13" s="2"/>
      <c r="IP13" s="2"/>
      <c r="IQ13" s="2"/>
      <c r="IR13" s="2"/>
      <c r="IS13" s="2"/>
      <c r="IT13" s="2"/>
      <c r="IU13" s="2"/>
      <c r="IV13" s="2"/>
    </row>
    <row r="14" spans="1:256" ht="13.5" customHeight="1">
      <c r="A14" s="5"/>
      <c r="B14" s="82" t="s">
        <v>23</v>
      </c>
      <c r="C14" s="80"/>
      <c r="D14" s="80"/>
      <c r="E14" s="257"/>
      <c r="F14" s="79"/>
      <c r="G14" s="79"/>
      <c r="H14" s="93" t="s">
        <v>109</v>
      </c>
      <c r="I14" s="99">
        <v>0.03</v>
      </c>
      <c r="J14" s="31" t="s">
        <v>24</v>
      </c>
      <c r="K14" s="18"/>
      <c r="L14" s="22"/>
      <c r="M14" s="1"/>
      <c r="O14" s="28" t="b">
        <v>0</v>
      </c>
      <c r="P14" s="41" t="s">
        <v>25</v>
      </c>
      <c r="Q14" s="35">
        <v>2430.235844873087</v>
      </c>
      <c r="R14" s="35">
        <v>1481.6944868176849</v>
      </c>
      <c r="S14" s="37">
        <f>IF(18,R14,Q14)</f>
        <v>1481.6944868176849</v>
      </c>
      <c r="T14" s="36">
        <f t="shared" si="0"/>
        <v>0</v>
      </c>
      <c r="U14" s="28" t="b">
        <v>0</v>
      </c>
      <c r="V14" s="41" t="s">
        <v>25</v>
      </c>
      <c r="W14" s="35">
        <v>2425.2871306650477</v>
      </c>
      <c r="X14" s="34">
        <v>1480.5707698326703</v>
      </c>
      <c r="Y14" s="37">
        <f>IF(18,X14,W14)</f>
        <v>1480.5707698326703</v>
      </c>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I14" s="2"/>
      <c r="IJ14" s="3"/>
      <c r="IK14" s="3"/>
      <c r="IL14" s="3"/>
      <c r="IM14" s="2"/>
      <c r="IN14" s="2"/>
      <c r="IO14" s="2"/>
      <c r="IP14" s="2"/>
      <c r="IQ14" s="2"/>
      <c r="IR14" s="2"/>
      <c r="IS14" s="2"/>
      <c r="IT14" s="2"/>
      <c r="IU14" s="2"/>
      <c r="IV14" s="2"/>
    </row>
    <row r="15" spans="1:256" ht="13.5" customHeight="1">
      <c r="A15" s="5"/>
      <c r="B15" s="83" t="s">
        <v>98</v>
      </c>
      <c r="C15" s="79"/>
      <c r="D15" s="79"/>
      <c r="E15" s="79"/>
      <c r="F15" s="84"/>
      <c r="G15" s="79" t="s">
        <v>99</v>
      </c>
      <c r="H15" s="79"/>
      <c r="I15" s="42">
        <f>IF(I14=0,0,I13*100/I14)</f>
        <v>3000</v>
      </c>
      <c r="J15" s="77" t="s">
        <v>27</v>
      </c>
      <c r="K15" s="18"/>
      <c r="L15" s="22"/>
      <c r="M15" s="1"/>
      <c r="O15" s="28" t="b">
        <v>0</v>
      </c>
      <c r="P15" s="33">
        <v>4</v>
      </c>
      <c r="Q15" s="35">
        <v>3823.6321798758745</v>
      </c>
      <c r="R15" s="35">
        <v>2349.8943710678423</v>
      </c>
      <c r="S15" s="37" t="e">
        <f>IF(J21,R15,Q15)</f>
        <v>#VALUE!</v>
      </c>
      <c r="T15" s="36">
        <f t="shared" si="0"/>
        <v>0</v>
      </c>
      <c r="U15" s="28" t="b">
        <v>0</v>
      </c>
      <c r="V15" s="33">
        <v>4</v>
      </c>
      <c r="W15" s="35">
        <v>3806.2231306417598</v>
      </c>
      <c r="X15" s="34">
        <v>2345.8361144358969</v>
      </c>
      <c r="Y15" s="37" t="e">
        <f>IF(P21,X15,W15)</f>
        <v>#VALUE!</v>
      </c>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I15" s="2"/>
      <c r="IJ15" s="3"/>
      <c r="IK15" s="3"/>
      <c r="IL15" s="3"/>
      <c r="IM15" s="2"/>
      <c r="IN15" s="2"/>
      <c r="IO15" s="2"/>
      <c r="IP15" s="2"/>
      <c r="IQ15" s="2"/>
      <c r="IR15" s="2"/>
      <c r="IS15" s="2"/>
      <c r="IT15" s="2"/>
      <c r="IU15" s="2"/>
      <c r="IV15" s="2"/>
    </row>
    <row r="16" spans="1:256" ht="13.5" customHeight="1">
      <c r="A16" s="5"/>
      <c r="B16" s="81"/>
      <c r="C16" s="79"/>
      <c r="D16" s="79"/>
      <c r="E16" s="79"/>
      <c r="F16" s="79"/>
      <c r="G16" s="79"/>
      <c r="H16" s="79"/>
      <c r="I16" s="19"/>
      <c r="J16" s="18"/>
      <c r="K16" s="18"/>
      <c r="L16" s="22"/>
      <c r="M16" s="1"/>
      <c r="O16" s="28" t="b">
        <v>0</v>
      </c>
      <c r="P16" s="33">
        <v>3</v>
      </c>
      <c r="Q16" s="35">
        <v>4635.4907887745949</v>
      </c>
      <c r="R16" s="35">
        <v>2871.799002052775</v>
      </c>
      <c r="S16" s="37" t="e">
        <f>IF(J21,R16,Q16)</f>
        <v>#VALUE!</v>
      </c>
      <c r="T16" s="36">
        <f t="shared" si="0"/>
        <v>0</v>
      </c>
      <c r="U16" s="28" t="b">
        <v>0</v>
      </c>
      <c r="V16" s="33">
        <v>3</v>
      </c>
      <c r="W16" s="35">
        <v>4633.1288113297242</v>
      </c>
      <c r="X16" s="34">
        <v>2876.2446490780762</v>
      </c>
      <c r="Y16" s="37" t="e">
        <f>IF(P21,X16,W16)</f>
        <v>#VALUE!</v>
      </c>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I16" s="2"/>
      <c r="IJ16" s="3"/>
      <c r="IK16" s="3"/>
      <c r="IL16" s="3"/>
      <c r="IM16" s="2"/>
      <c r="IN16" s="2"/>
      <c r="IO16" s="2"/>
      <c r="IP16" s="2"/>
      <c r="IQ16" s="2"/>
      <c r="IR16" s="2"/>
      <c r="IS16" s="2"/>
      <c r="IT16" s="2"/>
      <c r="IU16" s="2"/>
      <c r="IV16" s="2"/>
    </row>
    <row r="17" spans="1:256" ht="13.5" customHeight="1">
      <c r="A17" s="5"/>
      <c r="B17" s="85" t="s">
        <v>28</v>
      </c>
      <c r="C17" s="79"/>
      <c r="D17" s="79"/>
      <c r="E17" s="79"/>
      <c r="F17" s="79"/>
      <c r="G17" s="79"/>
      <c r="H17" s="79"/>
      <c r="I17" s="18"/>
      <c r="J17" s="18"/>
      <c r="K17" s="18"/>
      <c r="L17" s="22"/>
      <c r="M17" s="1"/>
      <c r="O17" s="28" t="b">
        <v>0</v>
      </c>
      <c r="P17" s="33">
        <v>2</v>
      </c>
      <c r="Q17" s="35">
        <v>6044.2040650502304</v>
      </c>
      <c r="R17" s="35">
        <v>3729.7608181376904</v>
      </c>
      <c r="S17" s="37" t="e">
        <f>IF(J21,R17,Q17)</f>
        <v>#VALUE!</v>
      </c>
      <c r="T17" s="36">
        <f t="shared" si="0"/>
        <v>0</v>
      </c>
      <c r="U17" s="28" t="b">
        <v>0</v>
      </c>
      <c r="V17" s="33">
        <v>2</v>
      </c>
      <c r="W17" s="35">
        <v>5906.9311245804556</v>
      </c>
      <c r="X17" s="34">
        <v>3713.3946065002592</v>
      </c>
      <c r="Y17" s="37" t="e">
        <f>IF(P21,X17,W17)</f>
        <v>#VALUE!</v>
      </c>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I17" s="2"/>
      <c r="IJ17" s="3"/>
      <c r="IK17" s="3"/>
      <c r="IL17" s="3"/>
      <c r="IM17" s="2"/>
      <c r="IN17" s="2"/>
      <c r="IO17" s="2"/>
      <c r="IP17" s="2"/>
      <c r="IQ17" s="2"/>
      <c r="IR17" s="2"/>
      <c r="IS17" s="2"/>
      <c r="IT17" s="2"/>
      <c r="IU17" s="2"/>
      <c r="IV17" s="2"/>
    </row>
    <row r="18" spans="1:256" ht="13.5" customHeight="1">
      <c r="A18" s="5"/>
      <c r="B18" s="81"/>
      <c r="C18" s="79"/>
      <c r="D18" s="79"/>
      <c r="E18" s="79"/>
      <c r="F18" s="79" t="s">
        <v>29</v>
      </c>
      <c r="G18" s="79"/>
      <c r="H18" s="93" t="s">
        <v>30</v>
      </c>
      <c r="I18" s="21">
        <v>150</v>
      </c>
      <c r="J18" s="18"/>
      <c r="K18" s="18"/>
      <c r="L18" s="22"/>
      <c r="M18" s="1"/>
      <c r="O18" s="28" t="b">
        <v>0</v>
      </c>
      <c r="P18" s="33">
        <v>1</v>
      </c>
      <c r="Q18" s="35">
        <v>7493.0777203984289</v>
      </c>
      <c r="R18" s="35">
        <v>4678.2818105990318</v>
      </c>
      <c r="S18" s="37" t="e">
        <f>IF(J21,R18,Q18)</f>
        <v>#VALUE!</v>
      </c>
      <c r="T18" s="36">
        <f t="shared" si="0"/>
        <v>0</v>
      </c>
      <c r="U18" s="28" t="b">
        <v>0</v>
      </c>
      <c r="V18" s="33">
        <v>1</v>
      </c>
      <c r="W18" s="35">
        <v>7292.9819118533896</v>
      </c>
      <c r="X18" s="34">
        <v>4645.1728973722275</v>
      </c>
      <c r="Y18" s="37" t="e">
        <f>IF(P21,X18,W18)</f>
        <v>#VALUE!</v>
      </c>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I18" s="2"/>
      <c r="IJ18" s="3"/>
      <c r="IK18" s="3"/>
      <c r="IL18" s="3"/>
      <c r="IM18" s="2"/>
      <c r="IN18" s="2"/>
      <c r="IO18" s="2"/>
      <c r="IP18" s="2"/>
      <c r="IQ18" s="2"/>
      <c r="IR18" s="2"/>
      <c r="IS18" s="2"/>
      <c r="IT18" s="2"/>
      <c r="IU18" s="2"/>
      <c r="IV18" s="2"/>
    </row>
    <row r="19" spans="1:256" ht="13.5" customHeight="1">
      <c r="A19" s="5"/>
      <c r="B19" s="245" t="s">
        <v>31</v>
      </c>
      <c r="C19" s="80" t="str">
        <f>V41</f>
        <v xml:space="preserve">        2 x L x I</v>
      </c>
      <c r="D19" s="80"/>
      <c r="E19" s="80"/>
      <c r="F19" s="79" t="s">
        <v>32</v>
      </c>
      <c r="G19" s="79"/>
      <c r="H19" s="79" t="s">
        <v>100</v>
      </c>
      <c r="I19" s="44">
        <f>IF(F8&gt;0,F8,I15)</f>
        <v>3000</v>
      </c>
      <c r="J19" s="18"/>
      <c r="K19" s="18"/>
      <c r="L19" s="22"/>
      <c r="M19" s="1"/>
      <c r="O19" s="28" t="b">
        <v>0</v>
      </c>
      <c r="P19" s="41" t="s">
        <v>34</v>
      </c>
      <c r="Q19" s="35">
        <v>9317.1278392089716</v>
      </c>
      <c r="R19" s="35">
        <v>5838.122477000773</v>
      </c>
      <c r="S19" s="37" t="e">
        <f>IF(J21,R19,Q19)</f>
        <v>#VALUE!</v>
      </c>
      <c r="T19" s="36">
        <f t="shared" si="0"/>
        <v>0</v>
      </c>
      <c r="U19" s="28" t="b">
        <v>0</v>
      </c>
      <c r="V19" s="41" t="s">
        <v>34</v>
      </c>
      <c r="W19" s="35">
        <v>8924.6983067607034</v>
      </c>
      <c r="X19" s="34">
        <v>5777.0769196430228</v>
      </c>
      <c r="Y19" s="37" t="e">
        <f>IF(P21,X19,W19)</f>
        <v>#VALUE!</v>
      </c>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I19" s="2"/>
      <c r="IJ19" s="3"/>
      <c r="IK19" s="3"/>
      <c r="IL19" s="3"/>
      <c r="IM19" s="2"/>
      <c r="IN19" s="2"/>
      <c r="IO19" s="2"/>
      <c r="IP19" s="2"/>
      <c r="IQ19" s="2"/>
      <c r="IR19" s="2"/>
      <c r="IS19" s="2"/>
      <c r="IT19" s="2"/>
      <c r="IU19" s="2"/>
      <c r="IV19" s="2"/>
    </row>
    <row r="20" spans="1:256" ht="13.5" customHeight="1">
      <c r="A20" s="5"/>
      <c r="B20" s="246"/>
      <c r="C20" s="80" t="s">
        <v>101</v>
      </c>
      <c r="D20" s="80"/>
      <c r="E20" s="80"/>
      <c r="F20" s="86" t="s">
        <v>36</v>
      </c>
      <c r="G20" s="79"/>
      <c r="H20" s="93" t="s">
        <v>37</v>
      </c>
      <c r="I20" s="21">
        <v>1</v>
      </c>
      <c r="J20" s="46"/>
      <c r="K20" s="18"/>
      <c r="L20" s="22"/>
      <c r="M20" s="1"/>
      <c r="O20" s="28" t="b">
        <v>0</v>
      </c>
      <c r="P20" s="41" t="s">
        <v>38</v>
      </c>
      <c r="Q20" s="35">
        <v>11423.738111586732</v>
      </c>
      <c r="R20" s="35">
        <v>7301.3535258869551</v>
      </c>
      <c r="S20" s="37" t="e">
        <f>IF(J21,R20,Q20)</f>
        <v>#VALUE!</v>
      </c>
      <c r="T20" s="36">
        <f t="shared" si="0"/>
        <v>0</v>
      </c>
      <c r="U20" s="28" t="b">
        <v>0</v>
      </c>
      <c r="V20" s="41" t="s">
        <v>38</v>
      </c>
      <c r="W20" s="35">
        <v>10755.13817039183</v>
      </c>
      <c r="X20" s="34">
        <v>7186.6587434532321</v>
      </c>
      <c r="Y20" s="37" t="e">
        <f>IF(P21,X20,W20)</f>
        <v>#VALUE!</v>
      </c>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I20" s="2"/>
      <c r="IJ20" s="3"/>
      <c r="IK20" s="3"/>
      <c r="IL20" s="3"/>
      <c r="IM20" s="2"/>
      <c r="IN20" s="2"/>
      <c r="IO20" s="2"/>
      <c r="IP20" s="2"/>
      <c r="IQ20" s="2"/>
      <c r="IR20" s="2"/>
      <c r="IS20" s="2"/>
      <c r="IT20" s="2"/>
      <c r="IU20" s="2"/>
      <c r="IV20" s="2"/>
    </row>
    <row r="21" spans="1:256" ht="13.5" customHeight="1">
      <c r="A21" s="5"/>
      <c r="B21" s="81"/>
      <c r="C21" s="79"/>
      <c r="D21" s="79"/>
      <c r="E21" s="260" t="s">
        <v>39</v>
      </c>
      <c r="F21" s="261"/>
      <c r="G21" s="260"/>
      <c r="H21" s="79" t="s">
        <v>40</v>
      </c>
      <c r="I21" s="47">
        <f>S38</f>
        <v>0</v>
      </c>
      <c r="J21" s="262" t="s">
        <v>41</v>
      </c>
      <c r="K21" s="263"/>
      <c r="L21" s="22"/>
      <c r="M21" s="1"/>
      <c r="O21" s="28" t="b">
        <v>0</v>
      </c>
      <c r="P21" s="41" t="s">
        <v>42</v>
      </c>
      <c r="Q21" s="35">
        <v>13923.188519527854</v>
      </c>
      <c r="R21" s="35">
        <v>9110.1283949548178</v>
      </c>
      <c r="S21" s="37" t="e">
        <f>IF(J21,R21,Q21)</f>
        <v>#VALUE!</v>
      </c>
      <c r="T21" s="36">
        <f t="shared" si="0"/>
        <v>0</v>
      </c>
      <c r="U21" s="28" t="b">
        <v>0</v>
      </c>
      <c r="V21" s="41" t="s">
        <v>42</v>
      </c>
      <c r="W21" s="35">
        <v>12843.501391351736</v>
      </c>
      <c r="X21" s="34">
        <v>8826.43131085606</v>
      </c>
      <c r="Y21" s="37" t="e">
        <f>IF(P21,X21,W21)</f>
        <v>#VALUE!</v>
      </c>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I21" s="2"/>
      <c r="IJ21" s="3"/>
      <c r="IK21" s="3"/>
      <c r="IL21" s="3"/>
      <c r="IM21" s="2"/>
      <c r="IN21" s="2"/>
      <c r="IO21" s="2"/>
      <c r="IP21" s="2"/>
      <c r="IQ21" s="2"/>
      <c r="IR21" s="2"/>
      <c r="IS21" s="2"/>
      <c r="IT21" s="2"/>
      <c r="IU21" s="2"/>
      <c r="IV21" s="2"/>
    </row>
    <row r="22" spans="1:256" ht="13.5" customHeight="1">
      <c r="A22" s="5"/>
      <c r="B22" s="81"/>
      <c r="C22" s="79"/>
      <c r="D22" s="79"/>
      <c r="E22" s="87"/>
      <c r="F22" s="260" t="s">
        <v>102</v>
      </c>
      <c r="G22" s="260"/>
      <c r="H22" s="79" t="s">
        <v>103</v>
      </c>
      <c r="I22" s="48">
        <f>V39</f>
        <v>0</v>
      </c>
      <c r="J22" s="77" t="s">
        <v>45</v>
      </c>
      <c r="L22" s="22"/>
      <c r="M22" s="1"/>
      <c r="O22" s="28" t="b">
        <v>0</v>
      </c>
      <c r="P22" s="41" t="s">
        <v>46</v>
      </c>
      <c r="Q22" s="35">
        <v>16673.221457441254</v>
      </c>
      <c r="R22" s="35">
        <v>11174.474827388922</v>
      </c>
      <c r="S22" s="37" t="e">
        <f>IF(J21,R22,Q22)</f>
        <v>#VALUE!</v>
      </c>
      <c r="T22" s="36">
        <f t="shared" si="0"/>
        <v>0</v>
      </c>
      <c r="U22" s="28" t="b">
        <v>0</v>
      </c>
      <c r="V22" s="41" t="s">
        <v>46</v>
      </c>
      <c r="W22" s="35">
        <v>15082.338662331369</v>
      </c>
      <c r="X22" s="34">
        <v>10740.989856504781</v>
      </c>
      <c r="Y22" s="37" t="e">
        <f>IF(P21,X22,W22)</f>
        <v>#VALUE!</v>
      </c>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I22" s="2"/>
      <c r="IJ22" s="3"/>
      <c r="IK22" s="3"/>
      <c r="IL22" s="3"/>
      <c r="IM22" s="2"/>
      <c r="IN22" s="2"/>
      <c r="IO22" s="2"/>
      <c r="IP22" s="2"/>
      <c r="IQ22" s="2"/>
      <c r="IR22" s="2"/>
      <c r="IS22" s="2"/>
      <c r="IT22" s="2"/>
      <c r="IU22" s="2"/>
      <c r="IV22" s="2"/>
    </row>
    <row r="23" spans="1:256" ht="13.5" customHeight="1">
      <c r="A23" s="5"/>
      <c r="B23" s="81"/>
      <c r="C23" s="79"/>
      <c r="D23" s="79"/>
      <c r="E23" s="79"/>
      <c r="F23" s="79"/>
      <c r="G23" s="79"/>
      <c r="H23" s="79" t="s">
        <v>47</v>
      </c>
      <c r="I23" s="49">
        <f>IF(I21=0,0,(V35*I18*I19)/(I20*I21*I22))</f>
        <v>0</v>
      </c>
      <c r="J23" s="18"/>
      <c r="K23" s="18"/>
      <c r="L23" s="22"/>
      <c r="M23" s="1"/>
      <c r="O23" s="28" t="b">
        <v>0</v>
      </c>
      <c r="P23" s="33" t="s">
        <v>48</v>
      </c>
      <c r="Q23" s="35">
        <v>18593.592822160561</v>
      </c>
      <c r="R23" s="35">
        <v>12862.419894284096</v>
      </c>
      <c r="S23" s="37" t="e">
        <f>IF(J21,R23,Q23)</f>
        <v>#VALUE!</v>
      </c>
      <c r="T23" s="36">
        <f t="shared" si="0"/>
        <v>0</v>
      </c>
      <c r="U23" s="28" t="b">
        <v>0</v>
      </c>
      <c r="V23" s="33">
        <v>250</v>
      </c>
      <c r="W23" s="35">
        <v>16483.392077271208</v>
      </c>
      <c r="X23" s="34">
        <v>12122.458939602073</v>
      </c>
      <c r="Y23" s="37" t="e">
        <f>IF(P21,X23,W23)</f>
        <v>#VALUE!</v>
      </c>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I23" s="2"/>
      <c r="IJ23" s="3"/>
      <c r="IK23" s="3"/>
      <c r="IL23" s="3"/>
      <c r="IM23" s="2"/>
      <c r="IN23" s="2"/>
      <c r="IO23" s="2"/>
      <c r="IP23" s="2"/>
      <c r="IQ23" s="2"/>
      <c r="IR23" s="2"/>
      <c r="IS23" s="2"/>
      <c r="IT23" s="2"/>
      <c r="IU23" s="2"/>
      <c r="IV23" s="2"/>
    </row>
    <row r="24" spans="1:256" ht="13.5" customHeight="1">
      <c r="A24" s="5"/>
      <c r="B24" s="81"/>
      <c r="C24" s="79"/>
      <c r="D24" s="79"/>
      <c r="E24" s="260" t="s">
        <v>49</v>
      </c>
      <c r="F24" s="261"/>
      <c r="G24" s="260"/>
      <c r="H24" s="79" t="s">
        <v>40</v>
      </c>
      <c r="I24" s="47">
        <f>T38</f>
        <v>0</v>
      </c>
      <c r="J24" s="262" t="s">
        <v>50</v>
      </c>
      <c r="K24" s="263"/>
      <c r="L24" s="22"/>
      <c r="M24" s="1"/>
      <c r="O24" s="28" t="b">
        <v>0</v>
      </c>
      <c r="P24" s="33" t="s">
        <v>51</v>
      </c>
      <c r="Q24" s="35">
        <v>20867.77910661223</v>
      </c>
      <c r="R24" s="35">
        <v>14922.713943512308</v>
      </c>
      <c r="S24" s="37" t="e">
        <f>IF(J21,R24,Q24)</f>
        <v>#VALUE!</v>
      </c>
      <c r="T24" s="36">
        <f t="shared" si="0"/>
        <v>0</v>
      </c>
      <c r="U24" s="28" t="b">
        <v>0</v>
      </c>
      <c r="V24" s="33">
        <v>300</v>
      </c>
      <c r="W24" s="35">
        <v>18176.591285604794</v>
      </c>
      <c r="X24" s="34">
        <v>13909.658873325201</v>
      </c>
      <c r="Y24" s="37" t="e">
        <f>IF(P21,X24,W24)</f>
        <v>#VALUE!</v>
      </c>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I24" s="2"/>
      <c r="IJ24" s="3"/>
      <c r="IK24" s="3"/>
      <c r="IL24" s="3"/>
      <c r="IM24" s="2"/>
      <c r="IN24" s="2"/>
      <c r="IO24" s="2"/>
      <c r="IP24" s="2"/>
      <c r="IQ24" s="2"/>
      <c r="IR24" s="2"/>
      <c r="IS24" s="2"/>
      <c r="IT24" s="2"/>
      <c r="IU24" s="2"/>
      <c r="IV24" s="2"/>
    </row>
    <row r="25" spans="1:256" ht="13.5" customHeight="1">
      <c r="A25" s="5"/>
      <c r="B25" s="85" t="s">
        <v>52</v>
      </c>
      <c r="C25" s="79"/>
      <c r="D25" s="79"/>
      <c r="E25" s="79"/>
      <c r="F25" s="260" t="s">
        <v>104</v>
      </c>
      <c r="G25" s="260"/>
      <c r="H25" s="79" t="s">
        <v>105</v>
      </c>
      <c r="I25" s="48">
        <f>V38</f>
        <v>0</v>
      </c>
      <c r="J25" s="77" t="s">
        <v>45</v>
      </c>
      <c r="K25" s="18"/>
      <c r="L25" s="22"/>
      <c r="M25" s="1"/>
      <c r="O25" s="28" t="b">
        <v>0</v>
      </c>
      <c r="P25" s="33" t="s">
        <v>55</v>
      </c>
      <c r="Q25" s="35">
        <v>22736.552449728213</v>
      </c>
      <c r="R25" s="35">
        <v>16812.778802186389</v>
      </c>
      <c r="S25" s="37" t="e">
        <f>IF(J21,R25,Q25)</f>
        <v>#VALUE!</v>
      </c>
      <c r="T25" s="36">
        <f t="shared" si="0"/>
        <v>0</v>
      </c>
      <c r="U25" s="28" t="b">
        <v>0</v>
      </c>
      <c r="V25" s="33">
        <v>350</v>
      </c>
      <c r="W25" s="35">
        <v>19703.601554443703</v>
      </c>
      <c r="X25" s="34">
        <v>15484.088036520512</v>
      </c>
      <c r="Y25" s="37" t="e">
        <f>IF(P21,X25,W25)</f>
        <v>#VALUE!</v>
      </c>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I25" s="2"/>
      <c r="IJ25" s="3"/>
      <c r="IK25" s="3"/>
      <c r="IL25" s="3"/>
      <c r="IM25" s="2"/>
      <c r="IN25" s="2"/>
      <c r="IO25" s="2"/>
      <c r="IP25" s="2"/>
      <c r="IQ25" s="2"/>
      <c r="IR25" s="2"/>
      <c r="IS25" s="2"/>
      <c r="IT25" s="2"/>
      <c r="IU25" s="2"/>
      <c r="IV25" s="2"/>
    </row>
    <row r="26" spans="1:256" ht="13.5" customHeight="1">
      <c r="A26" s="5"/>
      <c r="B26" s="81"/>
      <c r="C26" s="79"/>
      <c r="D26" s="79"/>
      <c r="E26" s="79"/>
      <c r="F26" s="79"/>
      <c r="G26" s="79"/>
      <c r="H26" s="79" t="s">
        <v>47</v>
      </c>
      <c r="I26" s="49">
        <f>IF(I24=0,0,(2*I18*I19)/(I20*I24*I25))</f>
        <v>0</v>
      </c>
      <c r="J26" s="18"/>
      <c r="K26" s="18"/>
      <c r="L26" s="22"/>
      <c r="M26" s="1"/>
      <c r="O26" s="28"/>
      <c r="P26" s="33" t="s">
        <v>56</v>
      </c>
      <c r="Q26" s="35">
        <v>24296.978546368195</v>
      </c>
      <c r="R26" s="35">
        <v>18505.830254940131</v>
      </c>
      <c r="S26" s="23"/>
      <c r="T26" s="50">
        <f>SUM(T10:T25)</f>
        <v>0</v>
      </c>
      <c r="U26" s="28"/>
      <c r="V26" s="33">
        <v>400</v>
      </c>
      <c r="W26" s="35">
        <v>20565.772871778488</v>
      </c>
      <c r="X26" s="34">
        <v>16670.719070091207</v>
      </c>
      <c r="Y26" s="23"/>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I26" s="2"/>
      <c r="IJ26" s="3"/>
      <c r="IK26" s="3"/>
      <c r="IL26" s="3"/>
      <c r="IM26" s="2"/>
      <c r="IN26" s="2"/>
      <c r="IO26" s="2"/>
      <c r="IP26" s="2"/>
      <c r="IQ26" s="2"/>
      <c r="IR26" s="2"/>
      <c r="IS26" s="2"/>
      <c r="IT26" s="2"/>
      <c r="IU26" s="2"/>
      <c r="IV26" s="2"/>
    </row>
    <row r="27" spans="1:256" ht="13.5" customHeight="1">
      <c r="A27" s="5"/>
      <c r="B27" s="81"/>
      <c r="C27" s="80" t="s">
        <v>106</v>
      </c>
      <c r="D27" s="80"/>
      <c r="E27" s="88"/>
      <c r="F27" s="88"/>
      <c r="G27" s="88"/>
      <c r="H27" s="88"/>
      <c r="I27" s="51"/>
      <c r="J27" s="51"/>
      <c r="K27" s="51"/>
      <c r="L27" s="22"/>
      <c r="M27" s="1"/>
      <c r="O27" s="1"/>
      <c r="P27" s="33" t="s">
        <v>58</v>
      </c>
      <c r="Q27" s="35">
        <v>26706.19735670698</v>
      </c>
      <c r="R27" s="35">
        <v>21390.924878610775</v>
      </c>
      <c r="S27" s="1"/>
      <c r="U27" s="1"/>
      <c r="V27" s="33">
        <v>500</v>
      </c>
      <c r="W27" s="35">
        <v>22185.168329180666</v>
      </c>
      <c r="X27" s="34">
        <v>18755.88411632373</v>
      </c>
      <c r="Y27" s="1"/>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I27" s="2"/>
      <c r="IJ27" s="3"/>
      <c r="IK27" s="3"/>
      <c r="IL27" s="3"/>
      <c r="IM27" s="2"/>
      <c r="IN27" s="2"/>
      <c r="IO27" s="2"/>
      <c r="IP27" s="2"/>
      <c r="IQ27" s="2"/>
      <c r="IR27" s="2"/>
      <c r="IS27" s="2"/>
      <c r="IT27" s="2"/>
      <c r="IU27" s="2"/>
      <c r="IV27" s="2"/>
    </row>
    <row r="28" spans="1:256" ht="13.5" customHeight="1">
      <c r="A28" s="5"/>
      <c r="B28" s="81"/>
      <c r="C28" s="80" t="s">
        <v>59</v>
      </c>
      <c r="D28" s="80"/>
      <c r="E28" s="80"/>
      <c r="F28" s="79" t="s">
        <v>60</v>
      </c>
      <c r="G28" s="84"/>
      <c r="H28" s="79" t="s">
        <v>61</v>
      </c>
      <c r="I28" s="49">
        <f>1/(1+I23)</f>
        <v>1</v>
      </c>
      <c r="J28" s="18"/>
      <c r="K28" s="18"/>
      <c r="L28" s="22"/>
      <c r="M28" s="1"/>
      <c r="O28" s="1"/>
      <c r="P28" s="33" t="s">
        <v>62</v>
      </c>
      <c r="Q28" s="35">
        <v>28033.098596050248</v>
      </c>
      <c r="R28" s="35">
        <v>23451.381130906164</v>
      </c>
      <c r="S28" s="1"/>
      <c r="U28" s="1"/>
      <c r="V28" s="33">
        <v>600</v>
      </c>
      <c r="W28" s="35">
        <v>22965.457796147002</v>
      </c>
      <c r="X28" s="34">
        <v>20093.248110190139</v>
      </c>
      <c r="Y28" s="1"/>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I28" s="2"/>
      <c r="IJ28" s="3"/>
      <c r="IK28" s="3"/>
      <c r="IL28" s="3"/>
      <c r="IM28" s="2"/>
      <c r="IN28" s="2"/>
      <c r="IO28" s="2"/>
      <c r="IP28" s="2"/>
      <c r="IQ28" s="2"/>
      <c r="IR28" s="2"/>
      <c r="IS28" s="2"/>
      <c r="IT28" s="2"/>
      <c r="IU28" s="2"/>
      <c r="IV28" s="2"/>
    </row>
    <row r="29" spans="1:256" ht="13.5" customHeight="1">
      <c r="A29" s="5"/>
      <c r="B29" s="81"/>
      <c r="C29" s="79"/>
      <c r="D29" s="79"/>
      <c r="E29" s="79"/>
      <c r="F29" s="84" t="s">
        <v>63</v>
      </c>
      <c r="G29" s="79"/>
      <c r="H29" s="79" t="s">
        <v>61</v>
      </c>
      <c r="I29" s="49">
        <f>1/(1+I26)</f>
        <v>1</v>
      </c>
      <c r="J29" s="18"/>
      <c r="K29" s="18"/>
      <c r="L29" s="22"/>
      <c r="M29" s="1"/>
      <c r="O29" s="1"/>
      <c r="P29" s="33" t="s">
        <v>64</v>
      </c>
      <c r="Q29" s="35">
        <v>28303.977676149876</v>
      </c>
      <c r="R29" s="35">
        <v>23491.919640749085</v>
      </c>
      <c r="S29" s="1"/>
      <c r="U29" s="1"/>
      <c r="V29" s="33">
        <v>750</v>
      </c>
      <c r="W29" s="35">
        <v>24136.570700104439</v>
      </c>
      <c r="X29" s="34">
        <v>21766.303843785976</v>
      </c>
      <c r="Y29" s="1"/>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I29" s="2"/>
      <c r="IJ29" s="3"/>
      <c r="IK29" s="3"/>
      <c r="IL29" s="3"/>
      <c r="IM29" s="2"/>
      <c r="IN29" s="2"/>
      <c r="IO29" s="2"/>
      <c r="IP29" s="2"/>
      <c r="IQ29" s="2"/>
      <c r="IR29" s="2"/>
      <c r="IS29" s="2"/>
      <c r="IT29" s="2"/>
      <c r="IU29" s="2"/>
      <c r="IV29" s="2"/>
    </row>
    <row r="30" spans="1:256" ht="13.5" customHeight="1">
      <c r="A30" s="5"/>
      <c r="B30" s="85" t="s">
        <v>65</v>
      </c>
      <c r="C30" s="79"/>
      <c r="D30" s="79"/>
      <c r="E30" s="79"/>
      <c r="F30" s="79"/>
      <c r="G30" s="79"/>
      <c r="H30" s="79"/>
      <c r="I30" s="18"/>
      <c r="J30" s="18"/>
      <c r="K30" s="18"/>
      <c r="L30" s="22"/>
      <c r="M30" s="1"/>
      <c r="O30" s="1"/>
      <c r="P30" s="33" t="s">
        <v>66</v>
      </c>
      <c r="Q30" s="35">
        <v>31490.635722979987</v>
      </c>
      <c r="R30" s="35">
        <v>28778.914851613878</v>
      </c>
      <c r="S30" s="1"/>
      <c r="U30" s="1"/>
      <c r="V30" s="33">
        <v>1000</v>
      </c>
      <c r="W30" s="35">
        <v>25278.006958277936</v>
      </c>
      <c r="X30" s="34">
        <v>23477.736376579767</v>
      </c>
      <c r="Y30" s="1"/>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I30" s="2"/>
      <c r="IJ30" s="3"/>
      <c r="IK30" s="3"/>
      <c r="IL30" s="3"/>
      <c r="IM30" s="2"/>
      <c r="IN30" s="2"/>
      <c r="IO30" s="2"/>
      <c r="IP30" s="2"/>
      <c r="IQ30" s="2"/>
      <c r="IR30" s="2"/>
      <c r="IS30" s="2"/>
      <c r="IT30" s="2"/>
      <c r="IU30" s="2"/>
      <c r="IV30" s="2"/>
    </row>
    <row r="31" spans="1:256" ht="13.5" customHeight="1">
      <c r="A31" s="5"/>
      <c r="B31" s="81"/>
      <c r="C31" s="79"/>
      <c r="D31" s="79"/>
      <c r="E31" s="79"/>
      <c r="F31" s="79"/>
      <c r="G31" s="79"/>
      <c r="H31" s="79"/>
      <c r="I31" s="18"/>
      <c r="J31" s="18"/>
      <c r="K31" s="18"/>
      <c r="L31" s="22"/>
      <c r="M31" s="1"/>
      <c r="O31" s="1"/>
      <c r="P31" s="1"/>
      <c r="Q31" s="1"/>
      <c r="R31" s="1"/>
      <c r="S31" s="1"/>
      <c r="U31" s="1"/>
      <c r="V31" s="1"/>
      <c r="W31" s="1"/>
      <c r="X31" s="1"/>
      <c r="Y31" s="1"/>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I31" s="2"/>
      <c r="IJ31" s="3"/>
      <c r="IK31" s="3"/>
      <c r="IL31" s="3"/>
      <c r="IM31" s="2"/>
      <c r="IN31" s="2"/>
      <c r="IO31" s="2"/>
      <c r="IP31" s="2"/>
      <c r="IQ31" s="2"/>
      <c r="IR31" s="2"/>
      <c r="IS31" s="2"/>
      <c r="IT31" s="2"/>
      <c r="IU31" s="2"/>
      <c r="IV31" s="2"/>
    </row>
    <row r="32" spans="1:256" ht="13.5" customHeight="1">
      <c r="A32" s="5"/>
      <c r="B32" s="89" t="s">
        <v>107</v>
      </c>
      <c r="C32" s="79"/>
      <c r="D32" s="79"/>
      <c r="E32" s="79"/>
      <c r="F32" s="79"/>
      <c r="G32" s="79"/>
      <c r="H32" s="79"/>
      <c r="I32" s="18"/>
      <c r="J32" s="52">
        <f>I19*I28</f>
        <v>3000</v>
      </c>
      <c r="K32" s="90" t="s">
        <v>27</v>
      </c>
      <c r="L32" s="22"/>
      <c r="M32" s="1"/>
      <c r="O32" s="53"/>
      <c r="P32" s="53"/>
      <c r="Q32" s="53"/>
      <c r="R32" s="53"/>
      <c r="S32" s="53"/>
      <c r="U32" s="53"/>
      <c r="V32" s="53"/>
      <c r="W32" s="53"/>
      <c r="X32" s="53"/>
      <c r="Y32" s="53"/>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I32" s="2"/>
      <c r="IJ32" s="3"/>
      <c r="IK32" s="3"/>
      <c r="IL32" s="3"/>
      <c r="IM32" s="2"/>
      <c r="IN32" s="2"/>
      <c r="IO32" s="2"/>
      <c r="IP32" s="2"/>
      <c r="IQ32" s="2"/>
      <c r="IR32" s="2"/>
      <c r="IS32" s="2"/>
      <c r="IT32" s="2"/>
      <c r="IU32" s="2"/>
      <c r="IV32" s="2"/>
    </row>
    <row r="33" spans="1:256" ht="13.5" customHeight="1">
      <c r="A33" s="5"/>
      <c r="B33" s="89" t="s">
        <v>108</v>
      </c>
      <c r="C33" s="79"/>
      <c r="D33" s="79"/>
      <c r="E33" s="79"/>
      <c r="F33" s="79"/>
      <c r="G33" s="79"/>
      <c r="H33" s="79"/>
      <c r="I33" s="18"/>
      <c r="J33" s="52">
        <f>I19*I29*P35</f>
        <v>0</v>
      </c>
      <c r="K33" s="90" t="s">
        <v>27</v>
      </c>
      <c r="L33" s="22"/>
      <c r="M33" s="1"/>
      <c r="O33" s="53"/>
      <c r="P33" s="54"/>
      <c r="Q33" s="54" t="s">
        <v>69</v>
      </c>
      <c r="R33" s="54"/>
      <c r="S33" s="54"/>
      <c r="T33" s="55"/>
      <c r="U33" s="54"/>
      <c r="V33" s="54"/>
      <c r="W33" s="54"/>
      <c r="X33" s="54"/>
      <c r="Y33" s="54"/>
      <c r="Z33" s="55"/>
      <c r="AA33" s="56">
        <f>U34</f>
        <v>1</v>
      </c>
      <c r="AB33" s="55"/>
      <c r="AC33" s="55"/>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I33" s="2"/>
      <c r="IJ33" s="3"/>
      <c r="IK33" s="3"/>
      <c r="IL33" s="3"/>
      <c r="IM33" s="2"/>
      <c r="IN33" s="2"/>
      <c r="IO33" s="2"/>
      <c r="IP33" s="2"/>
      <c r="IQ33" s="2"/>
      <c r="IR33" s="2"/>
      <c r="IS33" s="2"/>
      <c r="IT33" s="2"/>
      <c r="IU33" s="2"/>
      <c r="IV33" s="2"/>
    </row>
    <row r="34" spans="1:256" ht="14.25" customHeight="1">
      <c r="A34" s="5"/>
      <c r="B34" s="57"/>
      <c r="C34" s="58"/>
      <c r="D34" s="58"/>
      <c r="E34" s="58"/>
      <c r="F34" s="58"/>
      <c r="G34" s="58"/>
      <c r="H34" s="58"/>
      <c r="I34" s="58"/>
      <c r="J34" s="58"/>
      <c r="K34" s="58"/>
      <c r="L34" s="59"/>
      <c r="M34" s="1"/>
      <c r="O34" s="53"/>
      <c r="P34" s="54">
        <v>1</v>
      </c>
      <c r="Q34" s="54">
        <v>0</v>
      </c>
      <c r="R34" s="54" t="s">
        <v>70</v>
      </c>
      <c r="S34" s="54">
        <f>IF($P$34=2,R42,0)</f>
        <v>0</v>
      </c>
      <c r="T34" s="60">
        <f>IF($P$34=2,R41,0)</f>
        <v>0</v>
      </c>
      <c r="U34" s="54">
        <v>1</v>
      </c>
      <c r="V34" s="54">
        <f>CHOOSE(U34,0,240,208,208,480,480)</f>
        <v>0</v>
      </c>
      <c r="W34" s="54" t="s">
        <v>71</v>
      </c>
      <c r="X34" s="54"/>
      <c r="Y34" s="54"/>
      <c r="Z34" s="55">
        <f>IF(U34=1,1,0)</f>
        <v>1</v>
      </c>
      <c r="AA34" s="55">
        <f>IF(U44=2,0,-1)</f>
        <v>-1</v>
      </c>
      <c r="AB34" s="55"/>
      <c r="AC34" s="55"/>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I34" s="2"/>
      <c r="IJ34" s="3"/>
      <c r="IK34" s="3"/>
      <c r="IL34" s="3"/>
      <c r="IM34" s="2"/>
      <c r="IN34" s="2"/>
      <c r="IO34" s="2"/>
      <c r="IP34" s="2"/>
      <c r="IQ34" s="2"/>
      <c r="IR34" s="2"/>
      <c r="IS34" s="2"/>
      <c r="IT34" s="2"/>
      <c r="IU34" s="2"/>
      <c r="IV34" s="2"/>
    </row>
    <row r="35" spans="1:256" ht="14.25" customHeight="1">
      <c r="A35" s="5"/>
      <c r="B35" s="1"/>
      <c r="C35" s="1"/>
      <c r="D35" s="1"/>
      <c r="E35" s="1"/>
      <c r="F35" s="1"/>
      <c r="G35" s="1"/>
      <c r="H35" s="1"/>
      <c r="I35" s="1"/>
      <c r="J35" s="1"/>
      <c r="K35" s="1"/>
      <c r="L35" s="1"/>
      <c r="M35" s="1"/>
      <c r="O35" s="53"/>
      <c r="P35" s="54">
        <f>CHOOSE(U34,0,Q35,Q36,Q37,Q38,Q39)</f>
        <v>0</v>
      </c>
      <c r="Q35" s="54">
        <v>1.5</v>
      </c>
      <c r="R35" s="54" t="s">
        <v>72</v>
      </c>
      <c r="S35" s="54">
        <f>IF($P$34=3,S42,0)</f>
        <v>0</v>
      </c>
      <c r="T35" s="60">
        <f>IF($P$34=3,S41,0)</f>
        <v>0</v>
      </c>
      <c r="U35" s="54"/>
      <c r="V35" s="54">
        <f>CHOOSE(U34,0,2,2,1.732,2,1.732)</f>
        <v>0</v>
      </c>
      <c r="W35" s="54" t="s">
        <v>73</v>
      </c>
      <c r="X35" s="54"/>
      <c r="Y35" s="54"/>
      <c r="Z35" s="55">
        <f>IF(U44=2,1,0)</f>
        <v>0</v>
      </c>
      <c r="AA35" s="55">
        <f>IF(U44=2,-1,0)</f>
        <v>0</v>
      </c>
      <c r="AB35" s="55"/>
      <c r="AC35" s="55"/>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I35" s="2"/>
      <c r="IJ35" s="3"/>
      <c r="IK35" s="3"/>
      <c r="IL35" s="3"/>
      <c r="IM35" s="2"/>
      <c r="IN35" s="2"/>
      <c r="IO35" s="2"/>
      <c r="IP35" s="2"/>
      <c r="IQ35" s="2"/>
      <c r="IR35" s="2"/>
      <c r="IS35" s="2"/>
      <c r="IT35" s="2"/>
      <c r="IU35" s="2"/>
      <c r="IV35" s="2"/>
    </row>
    <row r="36" spans="1:256" ht="13.5" customHeight="1">
      <c r="A36" s="5"/>
      <c r="B36" s="6"/>
      <c r="C36" s="7"/>
      <c r="D36" s="7"/>
      <c r="E36" s="7"/>
      <c r="F36" s="7"/>
      <c r="G36" s="7"/>
      <c r="H36" s="7"/>
      <c r="I36" s="7"/>
      <c r="J36" s="94"/>
      <c r="K36" s="7"/>
      <c r="L36" s="61"/>
      <c r="M36" s="1"/>
      <c r="P36" s="55"/>
      <c r="Q36" s="55">
        <v>1</v>
      </c>
      <c r="R36" s="55" t="s">
        <v>74</v>
      </c>
      <c r="S36" s="54">
        <f>IF($P$34=4,X42,0)</f>
        <v>0</v>
      </c>
      <c r="T36" s="60">
        <f>IF($P$34=4,X41,0)</f>
        <v>0</v>
      </c>
      <c r="U36" s="55"/>
      <c r="V36" s="54">
        <f>CHOOSE(U34,0,"E","E","E x 1.732","E","E x 1.732")</f>
        <v>0</v>
      </c>
      <c r="W36" s="54" t="s">
        <v>75</v>
      </c>
      <c r="X36" s="54"/>
      <c r="Y36" s="54"/>
      <c r="Z36" s="55">
        <f>IF(U44=2,1,0)</f>
        <v>0</v>
      </c>
      <c r="AA36" s="55">
        <f>IF(U44=2,-1,0)</f>
        <v>0</v>
      </c>
      <c r="AB36" s="55"/>
      <c r="AC36" s="55"/>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I36" s="2"/>
      <c r="IJ36" s="3"/>
      <c r="IK36" s="3"/>
      <c r="IL36" s="3"/>
      <c r="IM36" s="2"/>
      <c r="IN36" s="2"/>
      <c r="IO36" s="2"/>
      <c r="IP36" s="2"/>
      <c r="IQ36" s="2"/>
      <c r="IR36" s="2"/>
      <c r="IS36" s="2"/>
      <c r="IT36" s="2"/>
      <c r="IU36" s="2"/>
      <c r="IV36" s="2"/>
    </row>
    <row r="37" spans="1:256" ht="13.5" customHeight="1">
      <c r="A37" s="1"/>
      <c r="B37" s="43" t="s">
        <v>76</v>
      </c>
      <c r="C37" s="18"/>
      <c r="D37" s="264" t="s">
        <v>77</v>
      </c>
      <c r="E37" s="265"/>
      <c r="F37" s="265"/>
      <c r="G37" s="265"/>
      <c r="H37" s="265"/>
      <c r="I37" s="265"/>
      <c r="J37" s="18"/>
      <c r="K37" s="18"/>
      <c r="L37" s="22"/>
      <c r="M37" s="1"/>
      <c r="P37" s="55"/>
      <c r="Q37" s="55">
        <v>1</v>
      </c>
      <c r="R37" s="55" t="s">
        <v>78</v>
      </c>
      <c r="S37" s="54">
        <f>IF($P$34=5,Y42,0)</f>
        <v>0</v>
      </c>
      <c r="T37" s="60">
        <f>IF($P$34=5,Y41,0)</f>
        <v>0</v>
      </c>
      <c r="U37" s="55"/>
      <c r="V37" s="54">
        <f>CHOOSE(U34,0,I8*1000/I9,I8*1000/I9,I8*1000/(I9*1.732),I8*1000/I9,I8*1000/(I9*1.732))</f>
        <v>0</v>
      </c>
      <c r="W37" s="62" t="s">
        <v>79</v>
      </c>
      <c r="X37" s="63"/>
      <c r="Y37" s="63"/>
      <c r="Z37" s="55">
        <f>IF(U44=2,0,0)</f>
        <v>0</v>
      </c>
      <c r="AA37" s="55">
        <f>IF(U44=1,0,0)</f>
        <v>0</v>
      </c>
      <c r="AB37" s="55">
        <f>IF(SUM($U$44*$U$34=8),0,1)</f>
        <v>1</v>
      </c>
      <c r="AC37" s="55" t="b">
        <f>OR(AB37,AB39)</f>
        <v>1</v>
      </c>
      <c r="AD37">
        <f>IF(AC37,0,-1)</f>
        <v>0</v>
      </c>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I37" s="2"/>
      <c r="IJ37" s="3"/>
      <c r="IK37" s="3"/>
      <c r="IL37" s="3"/>
      <c r="IM37" s="2"/>
      <c r="IN37" s="2"/>
      <c r="IO37" s="2"/>
      <c r="IP37" s="2"/>
      <c r="IQ37" s="2"/>
      <c r="IR37" s="2"/>
      <c r="IS37" s="2"/>
      <c r="IT37" s="2"/>
      <c r="IU37" s="2"/>
      <c r="IV37" s="2"/>
    </row>
    <row r="38" spans="1:256" ht="13.5" customHeight="1">
      <c r="A38" s="1"/>
      <c r="B38" s="26"/>
      <c r="C38" s="18"/>
      <c r="D38" s="18"/>
      <c r="E38" s="18"/>
      <c r="F38" s="18"/>
      <c r="G38" s="18"/>
      <c r="H38" s="18"/>
      <c r="I38" s="18"/>
      <c r="J38" s="18"/>
      <c r="K38" s="18"/>
      <c r="L38" s="22"/>
      <c r="M38" s="1"/>
      <c r="P38" s="55"/>
      <c r="Q38" s="55">
        <v>1.5</v>
      </c>
      <c r="R38" s="55"/>
      <c r="S38" s="55">
        <f>SUM(S34:S37)</f>
        <v>0</v>
      </c>
      <c r="T38" s="64">
        <f>SUM(T34:T37)</f>
        <v>0</v>
      </c>
      <c r="U38" s="55"/>
      <c r="V38" s="54">
        <f>CHOOSE(U34,0,120,120,120,277,277)</f>
        <v>0</v>
      </c>
      <c r="W38" s="54" t="s">
        <v>80</v>
      </c>
      <c r="X38" s="55"/>
      <c r="Y38" s="55"/>
      <c r="Z38" s="55">
        <f>IF(U44=2,1,0)</f>
        <v>0</v>
      </c>
      <c r="AA38" s="55">
        <f>IF(U44=2,-1,0)</f>
        <v>0</v>
      </c>
      <c r="AB38" s="55"/>
      <c r="AC38" s="55"/>
      <c r="AD38" s="65">
        <f>IF(SUM(U44+U34=8),-1,0)</f>
        <v>0</v>
      </c>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I38" s="2"/>
      <c r="IJ38" s="3"/>
      <c r="IK38" s="3"/>
      <c r="IL38" s="3"/>
      <c r="IM38" s="2"/>
      <c r="IN38" s="2"/>
      <c r="IO38" s="2"/>
      <c r="IP38" s="2"/>
      <c r="IQ38" s="2"/>
      <c r="IR38" s="2"/>
      <c r="IS38" s="2"/>
      <c r="IT38" s="2"/>
      <c r="IU38" s="2"/>
      <c r="IV38" s="2"/>
    </row>
    <row r="39" spans="1:256" ht="13.5" customHeight="1">
      <c r="A39" s="1"/>
      <c r="B39" s="266" t="str">
        <f>W51</f>
        <v>Single Phase Feeder</v>
      </c>
      <c r="C39" s="267"/>
      <c r="D39" s="267"/>
      <c r="E39" s="268"/>
      <c r="F39" s="18" t="s">
        <v>29</v>
      </c>
      <c r="G39" s="18"/>
      <c r="H39" s="18" t="s">
        <v>30</v>
      </c>
      <c r="I39" s="21"/>
      <c r="J39" s="18"/>
      <c r="K39" s="18"/>
      <c r="L39" s="22"/>
      <c r="M39" s="1"/>
      <c r="P39" s="55"/>
      <c r="Q39" s="55">
        <v>1</v>
      </c>
      <c r="R39" s="55"/>
      <c r="S39" s="55"/>
      <c r="T39" s="55"/>
      <c r="U39" s="55"/>
      <c r="V39" s="54">
        <f>CHOOSE(U34,0,240,208,208,480,480)</f>
        <v>0</v>
      </c>
      <c r="W39" s="62" t="s">
        <v>81</v>
      </c>
      <c r="X39" s="55"/>
      <c r="Y39" s="55"/>
      <c r="Z39" s="55">
        <f>IF(U44=2,0,0)</f>
        <v>0</v>
      </c>
      <c r="AA39" s="55">
        <f>IF(U34=6,0,0)</f>
        <v>0</v>
      </c>
      <c r="AB39" s="55">
        <f>IF(SUM(U44*U34=8),0,1)</f>
        <v>1</v>
      </c>
      <c r="AC39" s="55"/>
      <c r="AD39">
        <f>IF(SUM(U34+U44=6),-1,0)</f>
        <v>0</v>
      </c>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I39" s="2"/>
      <c r="IJ39" s="3"/>
      <c r="IK39" s="3"/>
      <c r="IL39" s="3"/>
      <c r="IM39" s="2"/>
      <c r="IN39" s="2"/>
      <c r="IO39" s="2"/>
      <c r="IP39" s="2"/>
      <c r="IQ39" s="2"/>
      <c r="IR39" s="2"/>
      <c r="IS39" s="2"/>
      <c r="IT39" s="2"/>
      <c r="IU39" s="2"/>
      <c r="IV39" s="2"/>
    </row>
    <row r="40" spans="1:256" ht="13.5" customHeight="1">
      <c r="A40" s="1"/>
      <c r="B40" s="269" t="s">
        <v>31</v>
      </c>
      <c r="C40" s="31" t="str">
        <f>V44</f>
        <v xml:space="preserve">        2 x L x I</v>
      </c>
      <c r="D40" s="31"/>
      <c r="E40" s="31"/>
      <c r="F40" s="18" t="s">
        <v>32</v>
      </c>
      <c r="G40" s="18"/>
      <c r="H40" s="18" t="s">
        <v>33</v>
      </c>
      <c r="I40" s="44">
        <f>J32</f>
        <v>3000</v>
      </c>
      <c r="J40" s="18" t="s">
        <v>82</v>
      </c>
      <c r="K40" s="44">
        <f>J33</f>
        <v>0</v>
      </c>
      <c r="L40" s="22" t="s">
        <v>83</v>
      </c>
      <c r="M40" s="1"/>
      <c r="P40" s="66">
        <v>1</v>
      </c>
      <c r="Q40" s="66" t="s">
        <v>69</v>
      </c>
      <c r="R40" s="67">
        <f>CHOOSE($P$40,0,Q10,Q11,Q12,Q13,Q14,Q15,Q16,Q17,Q18,Q19,Q20,Q21,Q22,Q23,Q24,Q25,Q26,Q27,Q28,Q29,Q30)</f>
        <v>0</v>
      </c>
      <c r="S40" s="67">
        <f>CHOOSE($P$40,0,R10,R11,R12,R13,R14,R15,R16,R17,R18,R19,R20,R21,R22,R23,R24,R25,R26,R27,R28,R29,R30)</f>
        <v>0</v>
      </c>
      <c r="T40" s="62">
        <f>IF(O40,S40,0)</f>
        <v>0</v>
      </c>
      <c r="U40" s="54">
        <v>1</v>
      </c>
      <c r="V40" s="66" t="s">
        <v>84</v>
      </c>
      <c r="W40" s="66"/>
      <c r="X40" s="67">
        <f>CHOOSE($P$40,0,W10,W11,W12,W13,W14,W15,W16,W17,W18,W19,W20,W21,W22,W23,W24,W25,W26,W27,W28,W29,W30)</f>
        <v>0</v>
      </c>
      <c r="Y40" s="67">
        <f>CHOOSE($P$40,0,X10,X11,X12,X13,X14,X15,X16,X17,X18,X19,X20,X21,X22,X23,X24,X25,X26,X27,X28,X29,X30)</f>
        <v>0</v>
      </c>
      <c r="Z40" s="55">
        <f>SUM(Z34:Z39)</f>
        <v>1</v>
      </c>
      <c r="AA40" s="55">
        <f>SUM(AA34:AA39)</f>
        <v>-1</v>
      </c>
      <c r="AB40" s="55">
        <f>SUM(Z40:AA40)</f>
        <v>0</v>
      </c>
      <c r="AC40" s="55"/>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I40" s="2"/>
      <c r="IJ40" s="3"/>
      <c r="IK40" s="3"/>
      <c r="IL40" s="3"/>
      <c r="IM40" s="2"/>
      <c r="IN40" s="2"/>
      <c r="IO40" s="2"/>
      <c r="IP40" s="2"/>
      <c r="IQ40" s="2"/>
      <c r="IR40" s="2"/>
      <c r="IS40" s="2"/>
      <c r="IT40" s="2"/>
      <c r="IU40" s="2"/>
      <c r="IV40" s="2"/>
    </row>
    <row r="41" spans="1:256" ht="13.5" customHeight="1">
      <c r="A41" s="1"/>
      <c r="B41" s="270"/>
      <c r="C41" s="31" t="s">
        <v>35</v>
      </c>
      <c r="D41" s="31"/>
      <c r="E41" s="31"/>
      <c r="F41" s="45" t="s">
        <v>36</v>
      </c>
      <c r="G41" s="18"/>
      <c r="H41" s="18" t="s">
        <v>37</v>
      </c>
      <c r="I41" s="21"/>
      <c r="J41" s="46"/>
      <c r="K41" s="18"/>
      <c r="L41" s="22"/>
      <c r="M41" s="1"/>
      <c r="P41" s="55"/>
      <c r="Q41" s="55"/>
      <c r="R41" s="68">
        <f>SUM(R40+R42)/2</f>
        <v>5711.869055793366</v>
      </c>
      <c r="S41" s="68">
        <f>SUM(S40+S42)/2</f>
        <v>3650.6767629434776</v>
      </c>
      <c r="T41" s="69">
        <f>IF(O41,S41,0)</f>
        <v>0</v>
      </c>
      <c r="U41" s="54"/>
      <c r="V41" s="54" t="str">
        <f>CHOOSE(U34,"        2 x L x I","        2 x L x I","        2 x L x I","      1.732 x L x I","        2 x L x I","      1.732 x L x I")</f>
        <v xml:space="preserve">        2 x L x I</v>
      </c>
      <c r="W41" s="55"/>
      <c r="X41" s="68">
        <f>SUM(X40+X42)/2</f>
        <v>5377.5690851959152</v>
      </c>
      <c r="Y41" s="68">
        <f>SUM(Y40+Y42)/2</f>
        <v>3593.329371726616</v>
      </c>
      <c r="Z41" s="55"/>
      <c r="AA41" s="55"/>
      <c r="AB41" s="56">
        <f>IF(U44=1,0,1)</f>
        <v>0</v>
      </c>
      <c r="AC41" s="55"/>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I41" s="2"/>
      <c r="IJ41" s="3"/>
      <c r="IK41" s="3"/>
      <c r="IL41" s="3"/>
      <c r="IM41" s="2"/>
      <c r="IN41" s="2"/>
      <c r="IO41" s="2"/>
      <c r="IP41" s="2"/>
      <c r="IQ41" s="2"/>
      <c r="IR41" s="2"/>
      <c r="IS41" s="2"/>
      <c r="IT41" s="2"/>
      <c r="IU41" s="2"/>
      <c r="IV41" s="2"/>
    </row>
    <row r="42" spans="1:256" ht="13.5" customHeight="1">
      <c r="A42" s="1"/>
      <c r="B42" s="26"/>
      <c r="C42" s="18"/>
      <c r="D42" s="18"/>
      <c r="E42" s="271" t="s">
        <v>39</v>
      </c>
      <c r="F42" s="272"/>
      <c r="G42" s="271"/>
      <c r="H42" s="18" t="s">
        <v>40</v>
      </c>
      <c r="I42" s="47">
        <f>S55</f>
        <v>0</v>
      </c>
      <c r="J42" s="70" t="str">
        <f>J21</f>
        <v>Phase Conductor</v>
      </c>
      <c r="K42" s="18"/>
      <c r="L42" s="22"/>
      <c r="M42" s="1"/>
      <c r="P42" s="56">
        <v>12</v>
      </c>
      <c r="Q42" s="71" t="s">
        <v>85</v>
      </c>
      <c r="R42" s="72">
        <f>CHOOSE($P$42,0,Q10,Q11,Q12,Q13,Q14,Q15,Q16,Q17,Q18,Q19,Q20,Q21,Q22,Q23,Q24,Q25,Q26,Q27,Q28,Q29,Q30)</f>
        <v>11423.738111586732</v>
      </c>
      <c r="S42" s="72">
        <f>CHOOSE($P$42,0,R10,R11,R12,R13,R14,R15,R16,R17,R18,R19,R20,R21,R22,R23,R24,R25,R26,R27,R28,R29,R30)</f>
        <v>7301.3535258869551</v>
      </c>
      <c r="T42" s="62">
        <f>IF(O42,#REF!,0)</f>
        <v>0</v>
      </c>
      <c r="U42" s="54"/>
      <c r="V42" s="56" t="s">
        <v>86</v>
      </c>
      <c r="W42" s="71" t="b">
        <v>1</v>
      </c>
      <c r="X42" s="72">
        <f>CHOOSE($P$42,0,W10,W11,W12,W13,W14,W15,W16,W17,W18,W19,W20,W21,W22,W23,W24,W25,W26,W27,W28,W29,W30)</f>
        <v>10755.13817039183</v>
      </c>
      <c r="Y42" s="72">
        <f>CHOOSE($P$42,0,X10,X11,X12,X13,X14,X15,X16,X17,X18,X19,X20,X21,X22,X23,X24,X25,X26,X27,X28,X29,X30)</f>
        <v>7186.6587434532321</v>
      </c>
      <c r="Z42" s="55"/>
      <c r="AA42" s="55"/>
      <c r="AB42" s="55">
        <f>AD37</f>
        <v>0</v>
      </c>
      <c r="AC42" s="55"/>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I42" s="2"/>
      <c r="IJ42" s="3"/>
      <c r="IK42" s="3"/>
      <c r="IL42" s="3"/>
      <c r="IM42" s="2"/>
      <c r="IN42" s="2"/>
      <c r="IO42" s="2"/>
      <c r="IP42" s="2"/>
      <c r="IQ42" s="2"/>
      <c r="IR42" s="2"/>
      <c r="IS42" s="2"/>
      <c r="IT42" s="2"/>
      <c r="IU42" s="2"/>
      <c r="IV42" s="2"/>
    </row>
    <row r="43" spans="1:256" ht="13.5" customHeight="1">
      <c r="A43" s="1"/>
      <c r="B43" s="26"/>
      <c r="C43" s="18"/>
      <c r="D43" s="18"/>
      <c r="E43" s="18"/>
      <c r="F43" s="18" t="s">
        <v>43</v>
      </c>
      <c r="G43" s="18"/>
      <c r="H43" s="18" t="s">
        <v>44</v>
      </c>
      <c r="I43" s="73">
        <f>$V$39</f>
        <v>0</v>
      </c>
      <c r="J43" s="18" t="s">
        <v>45</v>
      </c>
      <c r="K43" s="18"/>
      <c r="L43" s="22"/>
      <c r="M43" s="1"/>
      <c r="P43" s="55"/>
      <c r="Q43" s="55" t="b">
        <v>1</v>
      </c>
      <c r="R43" s="55"/>
      <c r="S43" s="55"/>
      <c r="T43" s="36">
        <f>IF(O43,#REF!,0)</f>
        <v>0</v>
      </c>
      <c r="U43" s="55"/>
      <c r="V43" s="55"/>
      <c r="W43" s="55" t="b">
        <v>1</v>
      </c>
      <c r="X43" s="55"/>
      <c r="Y43" s="55"/>
      <c r="Z43" s="55"/>
      <c r="AA43" s="55"/>
      <c r="AB43" s="64">
        <f>SUM(AD38:AD39)</f>
        <v>0</v>
      </c>
      <c r="AC43" s="55"/>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I43" s="2"/>
      <c r="IJ43" s="3"/>
      <c r="IK43" s="3"/>
      <c r="IL43" s="3"/>
      <c r="IM43" s="2"/>
      <c r="IN43" s="2"/>
      <c r="IO43" s="2"/>
      <c r="IP43" s="2"/>
      <c r="IQ43" s="2"/>
      <c r="IR43" s="2"/>
      <c r="IS43" s="2"/>
      <c r="IT43" s="2"/>
      <c r="IU43" s="2"/>
      <c r="IV43" s="2"/>
    </row>
    <row r="44" spans="1:256" ht="13.5" customHeight="1">
      <c r="A44" s="1"/>
      <c r="B44" s="26"/>
      <c r="C44" s="18"/>
      <c r="D44" s="18"/>
      <c r="E44" s="18"/>
      <c r="F44" s="18"/>
      <c r="G44" s="18"/>
      <c r="H44" s="18" t="s">
        <v>47</v>
      </c>
      <c r="I44" s="49">
        <f>IF(I42=0,0,(V45*I39*I40)/(I41*I42*I43))</f>
        <v>0</v>
      </c>
      <c r="J44" s="18"/>
      <c r="K44" s="18"/>
      <c r="L44" s="22"/>
      <c r="M44" s="1"/>
      <c r="P44" s="55"/>
      <c r="Q44" s="55"/>
      <c r="R44" s="55"/>
      <c r="S44" s="55"/>
      <c r="T44" s="36">
        <f>IF(O44,#REF!,0)</f>
        <v>0</v>
      </c>
      <c r="U44" s="55">
        <v>1</v>
      </c>
      <c r="V44" s="54" t="str">
        <f>CHOOSE(U44,"        2 x L x I","      1.732 x L x I")</f>
        <v xml:space="preserve">        2 x L x I</v>
      </c>
      <c r="W44" s="55" t="s">
        <v>87</v>
      </c>
      <c r="X44" s="55"/>
      <c r="Y44" s="55" t="str">
        <f>IF(U44=1,"Single Phase Feeder","Three Phase Feeder")</f>
        <v>Single Phase Feeder</v>
      </c>
      <c r="Z44" s="55"/>
      <c r="AA44" s="55"/>
      <c r="AB44" s="64">
        <f>SUM(AB40:AB43)</f>
        <v>0</v>
      </c>
      <c r="AC44" s="55"/>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I44" s="2"/>
      <c r="IJ44" s="3"/>
      <c r="IK44" s="3"/>
      <c r="IL44" s="3"/>
      <c r="IM44" s="2"/>
      <c r="IN44" s="2"/>
      <c r="IO44" s="2"/>
      <c r="IP44" s="2"/>
      <c r="IQ44" s="2"/>
      <c r="IR44" s="2"/>
      <c r="IS44" s="2"/>
      <c r="IT44" s="2"/>
      <c r="IU44" s="2"/>
      <c r="IV44" s="2"/>
    </row>
    <row r="45" spans="1:256" ht="13.5" customHeight="1">
      <c r="A45" s="1"/>
      <c r="B45" s="26"/>
      <c r="C45" s="18"/>
      <c r="D45" s="18"/>
      <c r="E45" s="271" t="s">
        <v>49</v>
      </c>
      <c r="F45" s="272"/>
      <c r="G45" s="271"/>
      <c r="H45" s="18" t="s">
        <v>40</v>
      </c>
      <c r="I45" s="47">
        <f>T55</f>
        <v>0</v>
      </c>
      <c r="J45" s="70" t="str">
        <f>J24</f>
        <v>Neutral Conductor</v>
      </c>
      <c r="K45" s="18"/>
      <c r="L45" s="22"/>
      <c r="M45" s="1"/>
      <c r="P45" s="55"/>
      <c r="Q45" s="55"/>
      <c r="R45" s="55"/>
      <c r="S45" s="55"/>
      <c r="T45" s="36"/>
      <c r="U45" s="55"/>
      <c r="V45" s="55">
        <f>CHOOSE(U44,2,1.732)</f>
        <v>2</v>
      </c>
      <c r="W45" s="55" t="s">
        <v>88</v>
      </c>
      <c r="X45" s="55"/>
      <c r="Y45" s="55"/>
      <c r="Z45" s="55"/>
      <c r="AA45" s="55"/>
      <c r="AB45" s="55"/>
      <c r="AC45" s="55"/>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I45" s="2"/>
      <c r="IJ45" s="3"/>
      <c r="IK45" s="3"/>
      <c r="IL45" s="3"/>
      <c r="IM45" s="2"/>
      <c r="IN45" s="2"/>
      <c r="IO45" s="2"/>
      <c r="IP45" s="2"/>
      <c r="IQ45" s="2"/>
      <c r="IR45" s="2"/>
      <c r="IS45" s="2"/>
      <c r="IT45" s="2"/>
      <c r="IU45" s="2"/>
      <c r="IV45" s="2"/>
    </row>
    <row r="46" spans="1:256" ht="13.5" customHeight="1">
      <c r="A46" s="1"/>
      <c r="B46" s="26"/>
      <c r="C46" s="18"/>
      <c r="D46" s="18"/>
      <c r="E46" s="18"/>
      <c r="F46" s="18" t="s">
        <v>53</v>
      </c>
      <c r="G46" s="18"/>
      <c r="H46" s="18" t="s">
        <v>54</v>
      </c>
      <c r="I46" s="73">
        <f>$V$38</f>
        <v>0</v>
      </c>
      <c r="J46" s="18" t="s">
        <v>45</v>
      </c>
      <c r="K46" s="18"/>
      <c r="L46" s="22"/>
      <c r="M46" s="1"/>
      <c r="P46" s="66">
        <v>1</v>
      </c>
      <c r="Q46" s="66"/>
      <c r="R46" s="66">
        <f>CHOOSE($P$46,0,Q10,Q11,Q12,Q13,Q14,Q15,Q16,Q17,Q18,Q19,Q20,Q21,Q22,Q23,Q24,Q25,Q26,Q27,Q28,Q29,Q30)</f>
        <v>0</v>
      </c>
      <c r="S46" s="66">
        <f>CHOOSE(P46,0,R10,R11,R12,R13,R14,R15,R16,R17,R18,R19,R20,R21,R22,R23,R24,R25,R26,R27,R28,R29:R30)</f>
        <v>0</v>
      </c>
      <c r="T46" s="74">
        <f>IF(O46,#REF!,0)</f>
        <v>0</v>
      </c>
      <c r="U46" s="66"/>
      <c r="V46" s="66"/>
      <c r="W46" s="66"/>
      <c r="X46" s="66">
        <f>CHOOSE(P46,0,W10,W11,W12,W13,W14,W15,W16,W17,W18,W19,W20,W21,W22,W23,W24,W25,W26,W27,W28,W29,W30)</f>
        <v>0</v>
      </c>
      <c r="Y46" s="66">
        <f>CHOOSE(P46,0,X10,X11,X12,X13,X14,X15,X16,X17,X18,X19,X20,X21,X22,X23,X24,X25,X26,X27,X28,X29,X30)</f>
        <v>0</v>
      </c>
      <c r="Z46" s="55"/>
      <c r="AA46" s="55"/>
      <c r="AB46" s="55"/>
      <c r="AC46" s="55"/>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I46" s="2"/>
      <c r="IJ46" s="3"/>
      <c r="IK46" s="3"/>
      <c r="IL46" s="3"/>
      <c r="IM46" s="2"/>
      <c r="IN46" s="2"/>
      <c r="IO46" s="2"/>
      <c r="IP46" s="2"/>
      <c r="IQ46" s="2"/>
      <c r="IR46" s="2"/>
      <c r="IS46" s="2"/>
      <c r="IT46" s="2"/>
      <c r="IU46" s="2"/>
      <c r="IV46" s="2"/>
    </row>
    <row r="47" spans="1:256" ht="13.5" customHeight="1">
      <c r="A47" s="1"/>
      <c r="B47" s="43" t="s">
        <v>52</v>
      </c>
      <c r="C47" s="18"/>
      <c r="D47" s="18"/>
      <c r="E47" s="18"/>
      <c r="F47" s="18"/>
      <c r="G47" s="18"/>
      <c r="H47" s="18" t="s">
        <v>47</v>
      </c>
      <c r="I47" s="49">
        <f>IF(I45=0,0,(2*I39*K40)/(I41*I45*I46))</f>
        <v>0</v>
      </c>
      <c r="J47" s="18"/>
      <c r="K47" s="18"/>
      <c r="L47" s="22"/>
      <c r="M47" s="1"/>
      <c r="P47" s="55"/>
      <c r="Q47" s="55"/>
      <c r="R47" s="68">
        <f>SUM(R46+R49)/2</f>
        <v>0</v>
      </c>
      <c r="S47" s="68">
        <f>SUM(S46+S49)/2</f>
        <v>0</v>
      </c>
      <c r="T47" s="63">
        <f>IF(O47,#REF!,0)</f>
        <v>0</v>
      </c>
      <c r="U47" s="55"/>
      <c r="V47" s="55"/>
      <c r="W47" s="55"/>
      <c r="X47" s="68">
        <f>SUM(X46+X49)/2</f>
        <v>0</v>
      </c>
      <c r="Y47" s="68">
        <f>SUM(Y46+Y49)/2</f>
        <v>0</v>
      </c>
      <c r="Z47" s="55"/>
      <c r="AA47" s="55"/>
      <c r="AB47" s="55"/>
      <c r="AC47" s="55"/>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I47" s="2"/>
      <c r="IJ47" s="3"/>
      <c r="IK47" s="3"/>
      <c r="IL47" s="3"/>
      <c r="IM47" s="2"/>
      <c r="IN47" s="2"/>
      <c r="IO47" s="2"/>
      <c r="IP47" s="2"/>
      <c r="IQ47" s="2"/>
      <c r="IR47" s="2"/>
      <c r="IS47" s="2"/>
      <c r="IT47" s="2"/>
      <c r="IU47" s="2"/>
      <c r="IV47" s="2"/>
    </row>
    <row r="48" spans="1:256" ht="13.5" customHeight="1">
      <c r="A48" s="1"/>
      <c r="B48" s="26"/>
      <c r="C48" s="18"/>
      <c r="D48" s="18"/>
      <c r="E48" s="18"/>
      <c r="F48" s="18"/>
      <c r="G48" s="18"/>
      <c r="H48" s="18"/>
      <c r="I48" s="18"/>
      <c r="J48" s="18"/>
      <c r="K48" s="18"/>
      <c r="L48" s="22"/>
      <c r="M48" s="1"/>
      <c r="P48" s="56"/>
      <c r="Q48" s="56"/>
      <c r="R48" s="56"/>
      <c r="S48" s="56"/>
      <c r="T48" s="75">
        <f>IF(O48,#REF!,0)</f>
        <v>0</v>
      </c>
      <c r="U48" s="56"/>
      <c r="V48" s="56"/>
      <c r="W48" s="56"/>
      <c r="X48" s="56"/>
      <c r="Y48" s="56"/>
      <c r="Z48" s="55"/>
      <c r="AA48" s="55"/>
      <c r="AB48" s="55"/>
      <c r="AC48" s="55"/>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I48" s="2"/>
      <c r="IJ48" s="3"/>
      <c r="IK48" s="3"/>
      <c r="IL48" s="3"/>
      <c r="IM48" s="2"/>
      <c r="IN48" s="2"/>
      <c r="IO48" s="2"/>
      <c r="IP48" s="2"/>
      <c r="IQ48" s="2"/>
      <c r="IR48" s="2"/>
      <c r="IS48" s="2"/>
      <c r="IT48" s="2"/>
      <c r="IU48" s="2"/>
      <c r="IV48" s="2"/>
    </row>
    <row r="49" spans="1:256" ht="13.5" customHeight="1">
      <c r="A49" s="1"/>
      <c r="B49" s="26"/>
      <c r="C49" s="31" t="s">
        <v>57</v>
      </c>
      <c r="D49" s="31"/>
      <c r="E49" s="31"/>
      <c r="F49" s="18" t="s">
        <v>60</v>
      </c>
      <c r="G49" s="19"/>
      <c r="H49" s="18" t="s">
        <v>61</v>
      </c>
      <c r="I49" s="49">
        <f>1/(1+I44)</f>
        <v>1</v>
      </c>
      <c r="J49" s="18"/>
      <c r="K49" s="18"/>
      <c r="L49" s="22"/>
      <c r="M49" s="1"/>
      <c r="P49" s="56">
        <v>1</v>
      </c>
      <c r="Q49" s="71" t="b">
        <v>0</v>
      </c>
      <c r="R49" s="56">
        <f>CHOOSE($P$49,0,Q10,Q11,Q12,Q13,Q14,Q15,Q16,Q17,Q18,Q19,Q20,Q21,Q22,Q23,Q24,Q25,Q26,Q27,Q28,Q29,Q30)</f>
        <v>0</v>
      </c>
      <c r="S49" s="56">
        <f>CHOOSE(P49,0,R10,R11,R12,R13,R14,R15,R16,R17,R18,R19,R20,R21,R22,R23,R24,R25,R26,R27,R28,R29,R30)</f>
        <v>0</v>
      </c>
      <c r="T49" s="75">
        <f>IF(O49,#REF!,0)</f>
        <v>0</v>
      </c>
      <c r="U49" s="56"/>
      <c r="V49" s="56" t="s">
        <v>2</v>
      </c>
      <c r="W49" s="71" t="b">
        <v>0</v>
      </c>
      <c r="X49" s="56">
        <f>CHOOSE(P49,0,W10,W11,W12,W13,W14,W15,W16,W17,W18,W19,W20,W21,W22,W23,W24,W25,W26,W27,W28,W29,W30)</f>
        <v>0</v>
      </c>
      <c r="Y49" s="56">
        <f>CHOOSE(P49,0,X10,X11,X12,X13,X14,X15,X16,X17,X18,X19,X20,X21,X22,X23,X24,X25,X26,X27,X28,X29,X30)</f>
        <v>0</v>
      </c>
      <c r="Z49" s="55"/>
      <c r="AA49" s="55"/>
      <c r="AB49" s="55"/>
      <c r="AC49" s="55"/>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I49" s="2"/>
      <c r="IJ49" s="3"/>
      <c r="IK49" s="3"/>
      <c r="IL49" s="3"/>
      <c r="IM49" s="2"/>
      <c r="IN49" s="2"/>
      <c r="IO49" s="2"/>
      <c r="IP49" s="2"/>
      <c r="IQ49" s="2"/>
      <c r="IR49" s="2"/>
      <c r="IS49" s="2"/>
      <c r="IT49" s="2"/>
      <c r="IU49" s="2"/>
      <c r="IV49" s="2"/>
    </row>
    <row r="50" spans="1:256" ht="13.5" customHeight="1">
      <c r="A50" s="1"/>
      <c r="B50" s="26"/>
      <c r="C50" s="31" t="s">
        <v>59</v>
      </c>
      <c r="D50" s="31"/>
      <c r="E50" s="31"/>
      <c r="F50" s="19" t="s">
        <v>63</v>
      </c>
      <c r="G50" s="18"/>
      <c r="H50" s="18" t="s">
        <v>61</v>
      </c>
      <c r="I50" s="49">
        <f>1/(1+I47)</f>
        <v>1</v>
      </c>
      <c r="J50" s="18" t="s">
        <v>2</v>
      </c>
      <c r="K50" s="18"/>
      <c r="L50" s="22"/>
      <c r="M50" s="1"/>
      <c r="P50" s="55"/>
      <c r="Q50" s="55"/>
      <c r="R50" s="55"/>
      <c r="S50" s="55"/>
      <c r="T50" s="36">
        <f>IF(O50,S50,0)</f>
        <v>0</v>
      </c>
      <c r="U50" s="55"/>
      <c r="V50" s="55"/>
      <c r="W50" s="55"/>
      <c r="X50" s="55"/>
      <c r="Y50" s="55"/>
      <c r="Z50" s="55"/>
      <c r="AA50" s="55"/>
      <c r="AB50" s="55"/>
      <c r="AC50" s="55"/>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I50" s="2"/>
      <c r="IJ50" s="3"/>
      <c r="IK50" s="3"/>
      <c r="IL50" s="3"/>
      <c r="IM50" s="2"/>
      <c r="IN50" s="2"/>
      <c r="IO50" s="2"/>
      <c r="IP50" s="2"/>
      <c r="IQ50" s="2"/>
      <c r="IR50" s="2"/>
      <c r="IS50" s="2"/>
      <c r="IT50" s="2"/>
      <c r="IU50" s="2"/>
      <c r="IV50" s="2"/>
    </row>
    <row r="51" spans="1:256" ht="13.5" customHeight="1">
      <c r="A51" s="1"/>
      <c r="B51" s="26"/>
      <c r="C51" s="18"/>
      <c r="D51" s="18"/>
      <c r="E51" s="18"/>
      <c r="F51" s="18"/>
      <c r="G51" s="18"/>
      <c r="H51" s="18"/>
      <c r="I51" s="18"/>
      <c r="J51" s="18"/>
      <c r="K51" s="19"/>
      <c r="L51" s="22"/>
      <c r="M51" s="1"/>
      <c r="P51" s="55">
        <v>1</v>
      </c>
      <c r="Q51" s="55"/>
      <c r="R51" s="54" t="s">
        <v>70</v>
      </c>
      <c r="S51" s="54">
        <f>IF(P51=2,R49,0)</f>
        <v>0</v>
      </c>
      <c r="T51" s="54">
        <f>IF(P51=2,R47,0)</f>
        <v>0</v>
      </c>
      <c r="U51" s="55"/>
      <c r="V51" s="55"/>
      <c r="W51" s="54" t="str">
        <f>IF(AB44&gt;0,"Error Check Above Selection",Y44)</f>
        <v>Single Phase Feeder</v>
      </c>
      <c r="X51" s="54"/>
      <c r="Y51" s="54"/>
      <c r="Z51" s="55"/>
      <c r="AA51" s="55"/>
      <c r="AB51" s="55"/>
      <c r="AC51" s="55"/>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I51" s="2"/>
      <c r="IJ51" s="3"/>
      <c r="IK51" s="3"/>
      <c r="IL51" s="3"/>
      <c r="IM51" s="2"/>
      <c r="IN51" s="2"/>
      <c r="IO51" s="2"/>
      <c r="IP51" s="2"/>
      <c r="IQ51" s="2"/>
      <c r="IR51" s="2"/>
      <c r="IS51" s="2"/>
      <c r="IT51" s="2"/>
      <c r="IU51" s="2"/>
      <c r="IV51" s="2"/>
    </row>
    <row r="52" spans="1:256" ht="13.5" customHeight="1">
      <c r="A52" s="1"/>
      <c r="B52" s="258" t="s">
        <v>89</v>
      </c>
      <c r="C52" s="259"/>
      <c r="D52" s="259"/>
      <c r="E52" s="259"/>
      <c r="F52" s="259"/>
      <c r="G52" s="259"/>
      <c r="H52" s="18"/>
      <c r="I52" s="18"/>
      <c r="J52" s="52">
        <f>I40*I49</f>
        <v>3000</v>
      </c>
      <c r="K52" s="31" t="s">
        <v>27</v>
      </c>
      <c r="L52" s="22"/>
      <c r="M52" s="1"/>
      <c r="P52" s="55"/>
      <c r="Q52" s="55"/>
      <c r="R52" s="54" t="s">
        <v>72</v>
      </c>
      <c r="S52" s="54">
        <f>IF(P51=3,S49,0)</f>
        <v>0</v>
      </c>
      <c r="T52" s="54">
        <f>IF(P51=3,S47,0)</f>
        <v>0</v>
      </c>
      <c r="U52" s="55"/>
      <c r="V52" s="55"/>
      <c r="W52" s="54" t="s">
        <v>2</v>
      </c>
      <c r="X52" s="54"/>
      <c r="Y52" s="54"/>
      <c r="Z52" s="55"/>
      <c r="AA52" s="55"/>
      <c r="AB52" s="55"/>
      <c r="AC52" s="55"/>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I52" s="2"/>
      <c r="IJ52" s="3"/>
      <c r="IK52" s="3"/>
      <c r="IL52" s="3"/>
      <c r="IM52" s="2"/>
      <c r="IN52" s="2"/>
      <c r="IO52" s="2"/>
      <c r="IP52" s="2"/>
      <c r="IQ52" s="2"/>
      <c r="IR52" s="2"/>
      <c r="IS52" s="2"/>
      <c r="IT52" s="2"/>
      <c r="IU52" s="2"/>
      <c r="IV52" s="2"/>
    </row>
    <row r="53" spans="1:256" ht="13.5" customHeight="1">
      <c r="A53" s="1"/>
      <c r="B53" s="258" t="s">
        <v>90</v>
      </c>
      <c r="C53" s="259"/>
      <c r="D53" s="259"/>
      <c r="E53" s="259"/>
      <c r="F53" s="259"/>
      <c r="G53" s="259"/>
      <c r="H53" s="18"/>
      <c r="I53" s="18"/>
      <c r="J53" s="52">
        <f>K40*I50*P35</f>
        <v>0</v>
      </c>
      <c r="K53" s="31" t="s">
        <v>27</v>
      </c>
      <c r="L53" s="22"/>
      <c r="M53" s="1"/>
      <c r="P53" s="55"/>
      <c r="Q53" s="55"/>
      <c r="R53" s="55" t="s">
        <v>74</v>
      </c>
      <c r="S53" s="54">
        <f>IF(P51=4,X49,0)</f>
        <v>0</v>
      </c>
      <c r="T53" s="54">
        <f>IF(P51=4,X47,0)</f>
        <v>0</v>
      </c>
      <c r="U53" s="55"/>
      <c r="V53" s="55"/>
      <c r="W53" s="54" t="s">
        <v>2</v>
      </c>
      <c r="X53" s="54" t="s">
        <v>2</v>
      </c>
      <c r="Y53" s="54"/>
      <c r="Z53" s="55"/>
      <c r="AA53" s="55"/>
      <c r="AB53" s="55"/>
      <c r="AC53" s="55"/>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I53" s="2"/>
      <c r="IJ53" s="3"/>
      <c r="IK53" s="3"/>
      <c r="IL53" s="3"/>
      <c r="IM53" s="2"/>
      <c r="IN53" s="2"/>
      <c r="IO53" s="2"/>
      <c r="IP53" s="2"/>
      <c r="IQ53" s="2"/>
      <c r="IR53" s="2"/>
      <c r="IS53" s="2"/>
      <c r="IT53" s="2"/>
      <c r="IU53" s="2"/>
      <c r="IV53" s="2"/>
    </row>
    <row r="54" spans="1:256" ht="13.5" customHeight="1">
      <c r="A54" s="1"/>
      <c r="B54" s="26"/>
      <c r="C54" s="18"/>
      <c r="D54" s="18"/>
      <c r="E54" s="18"/>
      <c r="F54" s="18"/>
      <c r="G54" s="18"/>
      <c r="H54" s="18"/>
      <c r="I54" s="18"/>
      <c r="J54" s="18"/>
      <c r="K54" s="18"/>
      <c r="L54" s="22"/>
      <c r="M54" s="1"/>
      <c r="P54" s="55"/>
      <c r="Q54" s="55"/>
      <c r="R54" s="55" t="s">
        <v>78</v>
      </c>
      <c r="S54" s="54">
        <f>IF(P51=5,Y49,0)</f>
        <v>0</v>
      </c>
      <c r="T54" s="54">
        <f>IF(P51=5,Y47,0)</f>
        <v>0</v>
      </c>
      <c r="U54" s="55"/>
      <c r="V54" s="55"/>
      <c r="W54" s="54"/>
      <c r="X54" s="63"/>
      <c r="Y54" s="63"/>
      <c r="Z54" s="55"/>
      <c r="AA54" s="55"/>
      <c r="AB54" s="55"/>
      <c r="AC54" s="55"/>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I54" s="2"/>
      <c r="IJ54" s="3"/>
      <c r="IK54" s="3"/>
      <c r="IL54" s="3"/>
      <c r="IM54" s="2"/>
      <c r="IN54" s="2"/>
      <c r="IO54" s="2"/>
      <c r="IP54" s="2"/>
      <c r="IQ54" s="2"/>
      <c r="IR54" s="2"/>
      <c r="IS54" s="2"/>
      <c r="IT54" s="2"/>
      <c r="IU54" s="2"/>
      <c r="IV54" s="2"/>
    </row>
    <row r="55" spans="1:256">
      <c r="A55" s="1"/>
      <c r="B55" s="26"/>
      <c r="C55" s="273" t="s">
        <v>91</v>
      </c>
      <c r="D55" s="249"/>
      <c r="E55" s="249"/>
      <c r="F55" s="249"/>
      <c r="G55" s="249"/>
      <c r="H55" s="249"/>
      <c r="I55" s="249"/>
      <c r="J55" s="249"/>
      <c r="K55" s="274"/>
      <c r="L55" s="22"/>
      <c r="M55" s="1"/>
      <c r="P55" s="55"/>
      <c r="Q55" s="55"/>
      <c r="R55" s="55"/>
      <c r="S55" s="68">
        <f>SUM(S51:S54)</f>
        <v>0</v>
      </c>
      <c r="T55" s="68">
        <f>SUM(T51:T54)</f>
        <v>0</v>
      </c>
      <c r="U55" s="55"/>
      <c r="V55" s="55"/>
      <c r="W55" s="54"/>
      <c r="X55" s="55"/>
      <c r="Y55" s="55"/>
      <c r="Z55" s="55"/>
      <c r="AA55" s="55"/>
      <c r="AB55" s="55"/>
      <c r="AC55" s="55"/>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I55" s="2"/>
      <c r="IJ55" s="3"/>
      <c r="IK55" s="3"/>
      <c r="IL55" s="3"/>
      <c r="IM55" s="2"/>
      <c r="IN55" s="2"/>
      <c r="IO55" s="2"/>
      <c r="IP55" s="2"/>
      <c r="IQ55" s="2"/>
      <c r="IR55" s="2"/>
      <c r="IS55" s="2"/>
      <c r="IT55" s="2"/>
      <c r="IU55" s="2"/>
      <c r="IV55" s="2"/>
    </row>
    <row r="56" spans="1:256" ht="13.5" customHeight="1">
      <c r="A56" s="1"/>
      <c r="B56" s="57"/>
      <c r="C56" s="58"/>
      <c r="D56" s="58"/>
      <c r="E56" s="58"/>
      <c r="F56" s="58"/>
      <c r="G56" s="58"/>
      <c r="H56" s="58"/>
      <c r="I56" s="58"/>
      <c r="J56" s="58"/>
      <c r="K56" s="58"/>
      <c r="L56" s="59"/>
      <c r="M56" s="1"/>
      <c r="P56" s="55"/>
      <c r="Q56" s="55"/>
      <c r="R56" s="55"/>
      <c r="S56" s="55"/>
      <c r="T56" s="36">
        <f>IF(O56,S56,0)</f>
        <v>0</v>
      </c>
      <c r="U56" s="55"/>
      <c r="V56" s="55"/>
      <c r="W56" s="62"/>
      <c r="X56" s="55"/>
      <c r="Y56" s="55"/>
      <c r="Z56" s="55"/>
      <c r="AA56" s="55"/>
      <c r="AB56" s="55"/>
      <c r="AC56" s="55"/>
      <c r="AD56" s="55"/>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I56" s="2"/>
      <c r="IJ56" s="3"/>
      <c r="IK56" s="3"/>
      <c r="IL56" s="3"/>
      <c r="IM56" s="2"/>
      <c r="IN56" s="2"/>
      <c r="IO56" s="2"/>
      <c r="IP56" s="2"/>
      <c r="IQ56" s="2"/>
      <c r="IR56" s="2"/>
      <c r="IS56" s="2"/>
      <c r="IT56" s="2"/>
      <c r="IU56" s="2"/>
      <c r="IV56" s="2"/>
    </row>
    <row r="57" spans="1:256" ht="6.75" customHeight="1">
      <c r="A57" s="1"/>
      <c r="B57" s="1"/>
      <c r="C57" s="1"/>
      <c r="D57" s="1"/>
      <c r="E57" s="1"/>
      <c r="F57" s="1"/>
      <c r="G57" s="1"/>
      <c r="H57" s="1"/>
      <c r="I57" s="1"/>
      <c r="J57" s="1"/>
      <c r="K57" s="1"/>
      <c r="L57" s="1"/>
      <c r="M57" s="1"/>
      <c r="T57" s="50">
        <f>SUM(T40:T56)</f>
        <v>0</v>
      </c>
      <c r="W57" s="55"/>
      <c r="X57" s="55"/>
      <c r="Y57" s="55"/>
      <c r="Z57" s="55"/>
      <c r="AA57" s="56">
        <f>U58</f>
        <v>0</v>
      </c>
      <c r="AB57" s="55"/>
      <c r="AC57" s="55"/>
      <c r="AD57" s="55"/>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I57" s="2"/>
      <c r="IJ57" s="3"/>
      <c r="IK57" s="3"/>
      <c r="IL57" s="3"/>
      <c r="IM57" s="2"/>
      <c r="IN57" s="2"/>
      <c r="IO57" s="2"/>
      <c r="IP57" s="2"/>
      <c r="IQ57" s="2"/>
      <c r="IR57" s="2"/>
      <c r="IS57" s="2"/>
      <c r="IT57" s="2"/>
      <c r="IU57" s="2"/>
      <c r="IV57" s="2"/>
    </row>
    <row r="58" spans="1:256" ht="6.75" customHeight="1">
      <c r="A58" s="5"/>
      <c r="B58" s="1"/>
      <c r="C58" s="1"/>
      <c r="D58" s="1"/>
      <c r="E58" s="1"/>
      <c r="F58" s="1"/>
      <c r="G58" s="1"/>
      <c r="H58" s="1"/>
      <c r="I58" s="1"/>
      <c r="J58" s="1"/>
      <c r="K58" s="1"/>
      <c r="L58" s="1"/>
      <c r="M58" s="1"/>
      <c r="Z58" s="55">
        <f>IF(U58=1,1,0)</f>
        <v>0</v>
      </c>
      <c r="AA58" s="55">
        <f>IF(U68=2,0,-1)</f>
        <v>-1</v>
      </c>
      <c r="AB58" s="55"/>
      <c r="AC58" s="55"/>
      <c r="AD58" s="55"/>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I58" s="2"/>
      <c r="IJ58" s="3"/>
      <c r="IK58" s="3"/>
      <c r="IL58" s="3"/>
      <c r="IM58" s="2"/>
      <c r="IN58" s="2"/>
      <c r="IO58" s="2"/>
      <c r="IP58" s="2"/>
      <c r="IQ58" s="2"/>
      <c r="IR58" s="2"/>
      <c r="IS58" s="2"/>
      <c r="IT58" s="2"/>
      <c r="IU58" s="2"/>
      <c r="IV58" s="2"/>
    </row>
    <row r="59" spans="1:256" ht="14.25" customHeight="1">
      <c r="A59" s="5"/>
      <c r="B59" s="6"/>
      <c r="C59" s="7"/>
      <c r="D59" s="7"/>
      <c r="E59" s="7"/>
      <c r="F59" s="7"/>
      <c r="G59" s="7"/>
      <c r="H59" s="7"/>
      <c r="I59" s="7"/>
      <c r="J59" s="7"/>
      <c r="K59" s="7"/>
      <c r="L59" s="61"/>
      <c r="M59" s="1"/>
      <c r="Z59" s="55">
        <f>IF(U68=2,1,0)</f>
        <v>0</v>
      </c>
      <c r="AA59" s="55">
        <f>IF(U68=2,-1,0)</f>
        <v>0</v>
      </c>
      <c r="AB59" s="55"/>
      <c r="AC59" s="55"/>
      <c r="AD59" s="55"/>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I59" s="2"/>
      <c r="IJ59" s="3"/>
      <c r="IK59" s="3"/>
      <c r="IL59" s="3"/>
      <c r="IM59" s="2"/>
      <c r="IN59" s="2"/>
      <c r="IO59" s="2"/>
      <c r="IP59" s="2"/>
      <c r="IQ59" s="2"/>
      <c r="IR59" s="2"/>
      <c r="IS59" s="2"/>
      <c r="IT59" s="2"/>
      <c r="IU59" s="2"/>
      <c r="IV59" s="2"/>
    </row>
    <row r="60" spans="1:256" ht="14.25" customHeight="1">
      <c r="A60" s="1"/>
      <c r="B60" s="43" t="s">
        <v>92</v>
      </c>
      <c r="C60" s="18"/>
      <c r="D60" s="76"/>
      <c r="E60" s="275" t="s">
        <v>93</v>
      </c>
      <c r="F60" s="276"/>
      <c r="G60" s="276"/>
      <c r="H60" s="276"/>
      <c r="I60" s="276"/>
      <c r="J60" s="18"/>
      <c r="K60" s="18"/>
      <c r="L60" s="22"/>
      <c r="M60" s="1"/>
      <c r="Z60" s="55">
        <f>IF(U68=2,1,0)</f>
        <v>0</v>
      </c>
      <c r="AA60" s="55">
        <f>IF(U68=2,-1,0)</f>
        <v>0</v>
      </c>
      <c r="AB60" s="55"/>
      <c r="AC60" s="55"/>
      <c r="AD60" s="55"/>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I60" s="2"/>
      <c r="IJ60" s="3"/>
      <c r="IK60" s="3"/>
      <c r="IL60" s="3"/>
      <c r="IM60" s="2"/>
      <c r="IN60" s="2"/>
      <c r="IO60" s="2"/>
      <c r="IP60" s="2"/>
      <c r="IQ60" s="2"/>
      <c r="IR60" s="2"/>
      <c r="IS60" s="2"/>
      <c r="IT60" s="2"/>
      <c r="IU60" s="2"/>
      <c r="IV60" s="2"/>
    </row>
    <row r="61" spans="1:256" ht="14.25" customHeight="1">
      <c r="A61" s="1"/>
      <c r="B61" s="26"/>
      <c r="C61" s="18"/>
      <c r="D61" s="18"/>
      <c r="E61" s="18"/>
      <c r="F61" s="18"/>
      <c r="G61" s="18"/>
      <c r="H61" s="18"/>
      <c r="I61" s="18"/>
      <c r="J61" s="18"/>
      <c r="K61" s="18"/>
      <c r="L61" s="22"/>
      <c r="M61" s="1"/>
      <c r="Z61" s="55">
        <f>IF(U68=2,0,0)</f>
        <v>0</v>
      </c>
      <c r="AA61" s="55">
        <f>IF(U68=1,0,0)</f>
        <v>0</v>
      </c>
      <c r="AB61" s="55">
        <f>IF(SUM($U$44*$U$34=8),0,1)</f>
        <v>1</v>
      </c>
      <c r="AC61" s="55" t="b">
        <f>OR(AB61,AB63)</f>
        <v>1</v>
      </c>
      <c r="AD61" s="55">
        <f>IF(AC61,0,-1)</f>
        <v>0</v>
      </c>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I61" s="2"/>
      <c r="IJ61" s="3"/>
      <c r="IK61" s="3"/>
      <c r="IL61" s="3"/>
      <c r="IM61" s="2"/>
      <c r="IN61" s="2"/>
      <c r="IO61" s="2"/>
      <c r="IP61" s="2"/>
      <c r="IQ61" s="2"/>
      <c r="IR61" s="2"/>
      <c r="IS61" s="2"/>
      <c r="IT61" s="2"/>
      <c r="IU61" s="2"/>
      <c r="IV61" s="2"/>
    </row>
    <row r="62" spans="1:256" ht="14.25" customHeight="1">
      <c r="A62" s="1"/>
      <c r="B62" s="266" t="str">
        <f>W74</f>
        <v>Single Phase Branch</v>
      </c>
      <c r="C62" s="267"/>
      <c r="D62" s="267"/>
      <c r="E62" s="268"/>
      <c r="F62" s="18" t="s">
        <v>29</v>
      </c>
      <c r="G62" s="18"/>
      <c r="H62" s="18" t="s">
        <v>30</v>
      </c>
      <c r="I62" s="21"/>
      <c r="J62" s="18"/>
      <c r="K62" s="18"/>
      <c r="L62" s="22"/>
      <c r="M62" s="1"/>
      <c r="Z62" s="55">
        <f>IF(U68=2,1,0)</f>
        <v>0</v>
      </c>
      <c r="AA62" s="55">
        <f>IF(U68=2,-1,0)</f>
        <v>0</v>
      </c>
      <c r="AB62" s="55"/>
      <c r="AC62" s="55"/>
      <c r="AD62" s="64">
        <f>IF(SUM(U68+U58=8),-1,0)</f>
        <v>0</v>
      </c>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I62" s="2"/>
      <c r="IJ62" s="3"/>
      <c r="IK62" s="3"/>
      <c r="IL62" s="3"/>
      <c r="IM62" s="2"/>
      <c r="IN62" s="2"/>
      <c r="IO62" s="2"/>
      <c r="IP62" s="2"/>
      <c r="IQ62" s="2"/>
      <c r="IR62" s="2"/>
      <c r="IS62" s="2"/>
      <c r="IT62" s="2"/>
      <c r="IU62" s="2"/>
      <c r="IV62" s="2"/>
    </row>
    <row r="63" spans="1:256" ht="14.25" customHeight="1">
      <c r="A63" s="1"/>
      <c r="B63" s="269" t="s">
        <v>31</v>
      </c>
      <c r="C63" s="31" t="str">
        <f>V67</f>
        <v xml:space="preserve">        2 x L x I</v>
      </c>
      <c r="D63" s="31"/>
      <c r="E63" s="31"/>
      <c r="F63" s="18" t="s">
        <v>32</v>
      </c>
      <c r="G63" s="18"/>
      <c r="H63" s="18" t="s">
        <v>33</v>
      </c>
      <c r="I63" s="44">
        <f>J52</f>
        <v>3000</v>
      </c>
      <c r="J63" s="18" t="s">
        <v>82</v>
      </c>
      <c r="K63" s="44">
        <f>J53</f>
        <v>0</v>
      </c>
      <c r="L63" s="22" t="s">
        <v>83</v>
      </c>
      <c r="M63" s="1"/>
      <c r="Z63" s="55">
        <f>IF(U68=2,0,0)</f>
        <v>0</v>
      </c>
      <c r="AA63" s="55">
        <f>IF(U58=6,0,0)</f>
        <v>0</v>
      </c>
      <c r="AB63" s="55">
        <f>IF(SUM(U68*U58=8),0,1)</f>
        <v>1</v>
      </c>
      <c r="AC63" s="55"/>
      <c r="AD63" s="55">
        <f>IF(SUM(U58+U68=6),-1,0)</f>
        <v>0</v>
      </c>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I63" s="2"/>
      <c r="IJ63" s="3"/>
      <c r="IK63" s="3"/>
      <c r="IL63" s="3"/>
      <c r="IM63" s="2"/>
      <c r="IN63" s="2"/>
      <c r="IO63" s="2"/>
      <c r="IP63" s="2"/>
      <c r="IQ63" s="2"/>
      <c r="IR63" s="2"/>
      <c r="IS63" s="2"/>
      <c r="IT63" s="2"/>
      <c r="IU63" s="2"/>
      <c r="IV63" s="2"/>
    </row>
    <row r="64" spans="1:256" ht="14.25" customHeight="1">
      <c r="A64" s="1"/>
      <c r="B64" s="270"/>
      <c r="C64" s="31" t="s">
        <v>35</v>
      </c>
      <c r="D64" s="31"/>
      <c r="E64" s="31"/>
      <c r="F64" s="45" t="s">
        <v>36</v>
      </c>
      <c r="G64" s="18"/>
      <c r="H64" s="18" t="s">
        <v>37</v>
      </c>
      <c r="I64" s="21"/>
      <c r="J64" s="46"/>
      <c r="K64" s="18"/>
      <c r="L64" s="22"/>
      <c r="M64" s="1"/>
      <c r="Z64" s="55">
        <f>SUM(Z58:Z63)</f>
        <v>0</v>
      </c>
      <c r="AA64" s="55">
        <f>SUM(AA58:AA63)</f>
        <v>-1</v>
      </c>
      <c r="AB64" s="55">
        <f>SUM(Z64:AA64)</f>
        <v>-1</v>
      </c>
      <c r="AC64" s="55"/>
      <c r="AD64" s="55"/>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I64" s="2"/>
      <c r="IJ64" s="3"/>
      <c r="IK64" s="3"/>
      <c r="IL64" s="3"/>
      <c r="IM64" s="2"/>
      <c r="IN64" s="2"/>
      <c r="IO64" s="2"/>
      <c r="IP64" s="2"/>
      <c r="IQ64" s="2"/>
      <c r="IR64" s="2"/>
      <c r="IS64" s="2"/>
      <c r="IT64" s="2"/>
      <c r="IU64" s="2"/>
      <c r="IV64" s="2"/>
    </row>
    <row r="65" spans="1:256" ht="14.25" customHeight="1">
      <c r="A65" s="1"/>
      <c r="B65" s="26"/>
      <c r="C65" s="18"/>
      <c r="D65" s="18"/>
      <c r="E65" s="271" t="s">
        <v>39</v>
      </c>
      <c r="F65" s="272"/>
      <c r="G65" s="271"/>
      <c r="H65" s="18" t="s">
        <v>40</v>
      </c>
      <c r="I65" s="47">
        <f>S78</f>
        <v>0</v>
      </c>
      <c r="J65" s="70" t="str">
        <f>J21</f>
        <v>Phase Conductor</v>
      </c>
      <c r="K65" s="18"/>
      <c r="L65" s="22"/>
      <c r="M65" s="1"/>
      <c r="P65" s="55"/>
      <c r="Q65" s="55"/>
      <c r="R65" s="55"/>
      <c r="S65" s="55"/>
      <c r="T65" s="55" t="s">
        <v>94</v>
      </c>
      <c r="U65" s="55">
        <f>U44</f>
        <v>1</v>
      </c>
      <c r="V65" s="55"/>
      <c r="W65" s="55"/>
      <c r="X65" s="55"/>
      <c r="Y65" s="55"/>
      <c r="Z65" s="55"/>
      <c r="AA65" s="55"/>
      <c r="AB65" s="56">
        <f>IF(U68=1,0,1)</f>
        <v>1</v>
      </c>
      <c r="AC65" s="55"/>
      <c r="AD65" s="55"/>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I65" s="2"/>
      <c r="IJ65" s="3"/>
      <c r="IK65" s="3"/>
      <c r="IL65" s="3"/>
      <c r="IM65" s="2"/>
      <c r="IN65" s="2"/>
      <c r="IO65" s="2"/>
      <c r="IP65" s="2"/>
      <c r="IQ65" s="2"/>
      <c r="IR65" s="2"/>
      <c r="IS65" s="2"/>
      <c r="IT65" s="2"/>
      <c r="IU65" s="2"/>
      <c r="IV65" s="2"/>
    </row>
    <row r="66" spans="1:256" ht="14.25" customHeight="1">
      <c r="A66" s="1"/>
      <c r="B66" s="26"/>
      <c r="C66" s="18"/>
      <c r="D66" s="18"/>
      <c r="E66" s="18"/>
      <c r="F66" s="18" t="s">
        <v>43</v>
      </c>
      <c r="G66" s="18"/>
      <c r="H66" s="18" t="s">
        <v>44</v>
      </c>
      <c r="I66" s="73">
        <f>$V$39</f>
        <v>0</v>
      </c>
      <c r="J66" s="18" t="s">
        <v>45</v>
      </c>
      <c r="K66" s="18"/>
      <c r="L66" s="22"/>
      <c r="M66" s="1"/>
      <c r="P66" s="55"/>
      <c r="Q66" s="55"/>
      <c r="R66" s="55"/>
      <c r="S66" s="55"/>
      <c r="T66" s="55"/>
      <c r="U66" s="55"/>
      <c r="V66" s="55"/>
      <c r="W66" s="55"/>
      <c r="X66" s="55"/>
      <c r="Y66" s="55"/>
      <c r="Z66" s="55"/>
      <c r="AA66" s="55"/>
      <c r="AB66" s="55">
        <f>AD61</f>
        <v>0</v>
      </c>
      <c r="AC66" s="55"/>
      <c r="AD66" s="55"/>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I66" s="2"/>
      <c r="IJ66" s="3"/>
      <c r="IK66" s="3"/>
      <c r="IL66" s="3"/>
      <c r="IM66" s="2"/>
      <c r="IN66" s="2"/>
      <c r="IO66" s="2"/>
      <c r="IP66" s="2"/>
      <c r="IQ66" s="2"/>
      <c r="IR66" s="2"/>
      <c r="IS66" s="2"/>
      <c r="IT66" s="2"/>
      <c r="IU66" s="2"/>
      <c r="IV66" s="2"/>
    </row>
    <row r="67" spans="1:256" ht="14.25" customHeight="1">
      <c r="A67" s="1"/>
      <c r="B67" s="26"/>
      <c r="C67" s="18"/>
      <c r="D67" s="18"/>
      <c r="E67" s="18"/>
      <c r="F67" s="18"/>
      <c r="G67" s="18"/>
      <c r="H67" s="18" t="s">
        <v>47</v>
      </c>
      <c r="I67" s="49">
        <f>IF(I65=0,0,(V68*I62*I63)/(I64*I65*I66))</f>
        <v>0</v>
      </c>
      <c r="J67" s="18"/>
      <c r="K67" s="18"/>
      <c r="L67" s="22"/>
      <c r="M67" s="1"/>
      <c r="P67" s="55"/>
      <c r="Q67" s="55"/>
      <c r="R67" s="55"/>
      <c r="S67" s="55"/>
      <c r="T67" s="55" t="s">
        <v>95</v>
      </c>
      <c r="U67" s="55">
        <v>1</v>
      </c>
      <c r="V67" s="54" t="str">
        <f>CHOOSE(U67,"        2 x L x I","      1.732 x L x I")</f>
        <v xml:space="preserve">        2 x L x I</v>
      </c>
      <c r="W67" s="55" t="s">
        <v>87</v>
      </c>
      <c r="X67" s="55"/>
      <c r="Y67" s="55" t="str">
        <f>IF(U67=1,"Single Phase Branch","Three Phase Branch")</f>
        <v>Single Phase Branch</v>
      </c>
      <c r="Z67" s="55"/>
      <c r="AA67" s="55"/>
      <c r="AB67" s="64">
        <f>SUM(AD62:AD63)</f>
        <v>0</v>
      </c>
      <c r="AC67" s="55"/>
      <c r="AD67" s="55"/>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I67" s="2"/>
      <c r="IJ67" s="3"/>
      <c r="IK67" s="3"/>
      <c r="IL67" s="3"/>
      <c r="IM67" s="2"/>
      <c r="IN67" s="2"/>
      <c r="IO67" s="2"/>
      <c r="IP67" s="2"/>
      <c r="IQ67" s="2"/>
      <c r="IR67" s="2"/>
      <c r="IS67" s="2"/>
      <c r="IT67" s="2"/>
      <c r="IU67" s="2"/>
      <c r="IV67" s="2"/>
    </row>
    <row r="68" spans="1:256" ht="14.25" customHeight="1">
      <c r="A68" s="1"/>
      <c r="B68" s="26"/>
      <c r="C68" s="18"/>
      <c r="D68" s="18"/>
      <c r="E68" s="271" t="s">
        <v>49</v>
      </c>
      <c r="F68" s="272"/>
      <c r="G68" s="271"/>
      <c r="H68" s="18" t="s">
        <v>40</v>
      </c>
      <c r="I68" s="47">
        <f>T78</f>
        <v>0</v>
      </c>
      <c r="J68" s="70" t="str">
        <f>J24</f>
        <v>Neutral Conductor</v>
      </c>
      <c r="K68" s="18"/>
      <c r="L68" s="22"/>
      <c r="M68" s="1"/>
      <c r="P68" s="55"/>
      <c r="Q68" s="55"/>
      <c r="R68" s="55"/>
      <c r="S68" s="55"/>
      <c r="T68" s="55"/>
      <c r="U68" s="55"/>
      <c r="V68" s="55">
        <f>CHOOSE(U67,2,1.732)</f>
        <v>2</v>
      </c>
      <c r="W68" s="55" t="s">
        <v>88</v>
      </c>
      <c r="X68" s="55"/>
      <c r="Y68" s="55"/>
      <c r="Z68" s="55"/>
      <c r="AA68" s="55"/>
      <c r="AB68" s="64">
        <f>SUM(AB64:AB67)</f>
        <v>0</v>
      </c>
      <c r="AC68" s="55"/>
      <c r="AD68" s="55"/>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I68" s="2"/>
      <c r="IJ68" s="3"/>
      <c r="IK68" s="3"/>
      <c r="IL68" s="3"/>
      <c r="IM68" s="2"/>
      <c r="IN68" s="2"/>
      <c r="IO68" s="2"/>
      <c r="IP68" s="2"/>
      <c r="IQ68" s="2"/>
      <c r="IR68" s="2"/>
      <c r="IS68" s="2"/>
      <c r="IT68" s="2"/>
      <c r="IU68" s="2"/>
      <c r="IV68" s="2"/>
    </row>
    <row r="69" spans="1:256" ht="14.25" customHeight="1">
      <c r="A69" s="1"/>
      <c r="B69" s="26"/>
      <c r="C69" s="18"/>
      <c r="D69" s="18"/>
      <c r="E69" s="18"/>
      <c r="F69" s="18" t="s">
        <v>53</v>
      </c>
      <c r="G69" s="18"/>
      <c r="H69" s="18" t="s">
        <v>54</v>
      </c>
      <c r="I69" s="73">
        <f>$V$38</f>
        <v>0</v>
      </c>
      <c r="J69" s="18" t="s">
        <v>45</v>
      </c>
      <c r="K69" s="18"/>
      <c r="L69" s="22"/>
      <c r="M69" s="1"/>
      <c r="P69" s="66">
        <v>1</v>
      </c>
      <c r="Q69" s="66"/>
      <c r="R69" s="66">
        <f>CHOOSE($P$69,0,Q$10,Q$11,Q$12,Q$13,Q$14,Q$15,Q$16,Q$17,Q$18,Q$19,Q$20,Q$21,Q$22,Q$23,Q$24,Q$25,Q$26,Q$27,Q$28,Q$29,Q$30)</f>
        <v>0</v>
      </c>
      <c r="S69" s="66">
        <f>CHOOSE($P$69,0,R10,R11,R12,R13,R14,R15,R16,R17,R18,R19,R20,R21,R22,R23,R24,R25,R26,R27,R28,R29,R30)</f>
        <v>0</v>
      </c>
      <c r="T69" s="74">
        <f>IF(O69,#REF!,0)</f>
        <v>0</v>
      </c>
      <c r="U69" s="66"/>
      <c r="V69" s="66"/>
      <c r="W69" s="66"/>
      <c r="X69" s="66">
        <f>CHOOSE($P$69,0,W10,W11,W12,W13,W14,W15,W16,W17,W18,W19,W20,W21,W22,W23,W24,W25,W26,W27,W28,W29,W30)</f>
        <v>0</v>
      </c>
      <c r="Y69" s="66">
        <f>CHOOSE($P$69,0,X10,X11,X12,X13,X14,X15,X16,X17,X18,X19,X20,X21,X22,X23,X24,X25,X26,X27,X28,X29,X30)</f>
        <v>0</v>
      </c>
      <c r="Z69" s="55"/>
      <c r="AA69" s="55"/>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I69" s="2"/>
      <c r="IJ69" s="3"/>
      <c r="IK69" s="3"/>
      <c r="IL69" s="3"/>
      <c r="IM69" s="2"/>
      <c r="IN69" s="2"/>
      <c r="IO69" s="2"/>
      <c r="IP69" s="2"/>
      <c r="IQ69" s="2"/>
      <c r="IR69" s="2"/>
      <c r="IS69" s="2"/>
      <c r="IT69" s="2"/>
      <c r="IU69" s="2"/>
      <c r="IV69" s="2"/>
    </row>
    <row r="70" spans="1:256" ht="14.25" customHeight="1">
      <c r="A70" s="1"/>
      <c r="B70" s="43" t="s">
        <v>52</v>
      </c>
      <c r="C70" s="18"/>
      <c r="D70" s="18"/>
      <c r="E70" s="18"/>
      <c r="F70" s="18"/>
      <c r="G70" s="18"/>
      <c r="H70" s="18" t="s">
        <v>47</v>
      </c>
      <c r="I70" s="49">
        <f>IF(I68=0,0,(2*I62*K63)/(I64*I68*I69))</f>
        <v>0</v>
      </c>
      <c r="J70" s="18"/>
      <c r="K70" s="18"/>
      <c r="L70" s="22"/>
      <c r="M70" s="1"/>
      <c r="P70" s="55"/>
      <c r="Q70" s="55"/>
      <c r="R70" s="68">
        <f>SUM(R69+R72)/2</f>
        <v>0</v>
      </c>
      <c r="S70" s="68">
        <f>SUM(S69+S72)/2</f>
        <v>0</v>
      </c>
      <c r="T70" s="63">
        <f>IF(O70,#REF!,0)</f>
        <v>0</v>
      </c>
      <c r="U70" s="55"/>
      <c r="V70" s="55"/>
      <c r="W70" s="55"/>
      <c r="X70" s="68">
        <f>SUM(X69+X72)/2</f>
        <v>0</v>
      </c>
      <c r="Y70" s="68">
        <f>SUM(Y69+Y72)/2</f>
        <v>0</v>
      </c>
      <c r="Z70" s="55"/>
      <c r="AA70" s="55"/>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I70" s="2"/>
      <c r="IJ70" s="3"/>
      <c r="IK70" s="3"/>
      <c r="IL70" s="3"/>
      <c r="IM70" s="2"/>
      <c r="IN70" s="2"/>
      <c r="IO70" s="2"/>
      <c r="IP70" s="2"/>
      <c r="IQ70" s="2"/>
      <c r="IR70" s="2"/>
      <c r="IS70" s="2"/>
      <c r="IT70" s="2"/>
      <c r="IU70" s="2"/>
      <c r="IV70" s="2"/>
    </row>
    <row r="71" spans="1:256" ht="14.25" customHeight="1">
      <c r="A71" s="1"/>
      <c r="B71" s="26"/>
      <c r="C71" s="18"/>
      <c r="D71" s="18"/>
      <c r="E71" s="18"/>
      <c r="F71" s="18"/>
      <c r="G71" s="18"/>
      <c r="H71" s="18"/>
      <c r="I71" s="18"/>
      <c r="J71" s="18"/>
      <c r="K71" s="18"/>
      <c r="L71" s="22"/>
      <c r="M71" s="1"/>
      <c r="P71" s="56"/>
      <c r="Q71" s="56"/>
      <c r="R71" s="56"/>
      <c r="S71" s="56"/>
      <c r="T71" s="75">
        <f>IF(O71,#REF!,0)</f>
        <v>0</v>
      </c>
      <c r="U71" s="56"/>
      <c r="V71" s="56"/>
      <c r="W71" s="56"/>
      <c r="X71" s="56"/>
      <c r="Y71" s="56"/>
      <c r="Z71" s="55"/>
      <c r="AA71" s="55"/>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I71" s="2"/>
      <c r="IJ71" s="3"/>
      <c r="IK71" s="3"/>
      <c r="IL71" s="3"/>
      <c r="IM71" s="2"/>
      <c r="IN71" s="2"/>
      <c r="IO71" s="2"/>
      <c r="IP71" s="2"/>
      <c r="IQ71" s="2"/>
      <c r="IR71" s="2"/>
      <c r="IS71" s="2"/>
      <c r="IT71" s="2"/>
      <c r="IU71" s="2"/>
      <c r="IV71" s="2"/>
    </row>
    <row r="72" spans="1:256" ht="14.25" customHeight="1">
      <c r="A72" s="1"/>
      <c r="B72" s="26"/>
      <c r="C72" s="31" t="s">
        <v>57</v>
      </c>
      <c r="D72" s="31"/>
      <c r="E72" s="31"/>
      <c r="F72" s="18" t="s">
        <v>60</v>
      </c>
      <c r="G72" s="19"/>
      <c r="H72" s="18" t="s">
        <v>61</v>
      </c>
      <c r="I72" s="49">
        <f>1/(1+I67)</f>
        <v>1</v>
      </c>
      <c r="J72" s="18"/>
      <c r="K72" s="18"/>
      <c r="L72" s="22"/>
      <c r="M72" s="1"/>
      <c r="P72" s="56">
        <v>1</v>
      </c>
      <c r="Q72" s="71" t="b">
        <v>0</v>
      </c>
      <c r="R72" s="56">
        <f>CHOOSE($P$72,0,Q$10,Q$11,Q$12,Q$13,Q$14,Q$15,Q$16,Q$17,Q$18,Q$19,Q$20,Q$21,Q$22,Q$23,Q$24,Q$25,Q$26,Q$27,Q$28,Q$29,Q$30)</f>
        <v>0</v>
      </c>
      <c r="S72" s="56">
        <f>CHOOSE($P$72,0,R$10,R$11,R$12,R$13,R$14,R$15,R$16,R$17,R$18,R$19,R$20,R$21,R$22,R$23,R$24,R$25,R$26,R$27,R$28,R$29,R$30)</f>
        <v>0</v>
      </c>
      <c r="T72" s="75">
        <f>IF(O72,#REF!,0)</f>
        <v>0</v>
      </c>
      <c r="U72" s="56"/>
      <c r="V72" s="56" t="s">
        <v>2</v>
      </c>
      <c r="W72" s="71" t="b">
        <v>0</v>
      </c>
      <c r="X72" s="56">
        <f>CHOOSE($P$72,0,W$10,W$11,W$12,W$13,W$14,W$15,W$16,W$17,W$18,W$19,W$20,W$21,W$22,W$23,W$24,W$25,W$26,W$27,W$28,W$29,W$30)</f>
        <v>0</v>
      </c>
      <c r="Y72" s="56">
        <f>CHOOSE($P$72,0,X$10,X$11,X$12,X$13,X$14,X$15,X$16,X$17,X$18,X$19,X$20,X$21,X$22,X$23,X$24,X$25,X$26,X$27,X$28,X$29,X$30)</f>
        <v>0</v>
      </c>
      <c r="Z72" s="55"/>
      <c r="AA72" s="55"/>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I72" s="2"/>
      <c r="IJ72" s="3"/>
      <c r="IK72" s="3"/>
      <c r="IL72" s="3"/>
      <c r="IM72" s="2"/>
      <c r="IN72" s="2"/>
      <c r="IO72" s="2"/>
      <c r="IP72" s="2"/>
      <c r="IQ72" s="2"/>
      <c r="IR72" s="2"/>
      <c r="IS72" s="2"/>
      <c r="IT72" s="2"/>
      <c r="IU72" s="2"/>
      <c r="IV72" s="2"/>
    </row>
    <row r="73" spans="1:256" ht="14.25" customHeight="1">
      <c r="A73" s="1"/>
      <c r="B73" s="26"/>
      <c r="C73" s="31" t="s">
        <v>59</v>
      </c>
      <c r="D73" s="31"/>
      <c r="E73" s="31"/>
      <c r="F73" s="19" t="s">
        <v>63</v>
      </c>
      <c r="G73" s="18"/>
      <c r="H73" s="18" t="s">
        <v>61</v>
      </c>
      <c r="I73" s="49">
        <f>1/(1+I70)</f>
        <v>1</v>
      </c>
      <c r="J73" s="18" t="s">
        <v>2</v>
      </c>
      <c r="K73" s="18"/>
      <c r="L73" s="22"/>
      <c r="M73" s="1"/>
      <c r="P73" s="55"/>
      <c r="Q73" s="55"/>
      <c r="R73" s="55"/>
      <c r="S73" s="55"/>
      <c r="T73" s="36">
        <f>IF(O73,S73,0)</f>
        <v>0</v>
      </c>
      <c r="U73" s="55"/>
      <c r="V73" s="55"/>
      <c r="W73" s="55"/>
      <c r="X73" s="55"/>
      <c r="Y73" s="55"/>
      <c r="Z73" s="55"/>
      <c r="AA73" s="55"/>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I73" s="2"/>
      <c r="IJ73" s="3"/>
      <c r="IK73" s="3"/>
      <c r="IL73" s="3"/>
      <c r="IM73" s="2"/>
      <c r="IN73" s="2"/>
      <c r="IO73" s="2"/>
      <c r="IP73" s="2"/>
      <c r="IQ73" s="2"/>
      <c r="IR73" s="2"/>
      <c r="IS73" s="2"/>
      <c r="IT73" s="2"/>
      <c r="IU73" s="2"/>
      <c r="IV73" s="2"/>
    </row>
    <row r="74" spans="1:256" ht="14.25" customHeight="1">
      <c r="A74" s="1"/>
      <c r="B74" s="26"/>
      <c r="C74" s="18"/>
      <c r="D74" s="18"/>
      <c r="E74" s="18"/>
      <c r="F74" s="18"/>
      <c r="G74" s="18"/>
      <c r="H74" s="18"/>
      <c r="I74" s="18"/>
      <c r="J74" s="18"/>
      <c r="K74" s="19"/>
      <c r="L74" s="22"/>
      <c r="M74" s="1"/>
      <c r="P74" s="55">
        <v>1</v>
      </c>
      <c r="Q74" s="55"/>
      <c r="R74" s="54" t="s">
        <v>70</v>
      </c>
      <c r="S74" s="54">
        <f>IF(P74=2,R72,0)</f>
        <v>0</v>
      </c>
      <c r="T74" s="54">
        <f>IF(P74=2,R70,0)</f>
        <v>0</v>
      </c>
      <c r="U74" s="55"/>
      <c r="V74" s="55"/>
      <c r="W74" s="54" t="str">
        <f>IF(Y80,Y67,"Error Single Phase Feeder")</f>
        <v>Single Phase Branch</v>
      </c>
      <c r="X74" s="54"/>
      <c r="Y74" s="54"/>
      <c r="Z74" s="55"/>
      <c r="AA74" s="55"/>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I74" s="2"/>
      <c r="IJ74" s="3"/>
      <c r="IK74" s="3"/>
      <c r="IL74" s="3"/>
      <c r="IM74" s="2"/>
      <c r="IN74" s="2"/>
      <c r="IO74" s="2"/>
      <c r="IP74" s="2"/>
      <c r="IQ74" s="2"/>
      <c r="IR74" s="2"/>
      <c r="IS74" s="2"/>
      <c r="IT74" s="2"/>
      <c r="IU74" s="2"/>
      <c r="IV74" s="2"/>
    </row>
    <row r="75" spans="1:256" ht="14.25" customHeight="1">
      <c r="A75" s="1"/>
      <c r="B75" s="258" t="s">
        <v>89</v>
      </c>
      <c r="C75" s="259"/>
      <c r="D75" s="259"/>
      <c r="E75" s="259"/>
      <c r="F75" s="259"/>
      <c r="G75" s="259"/>
      <c r="H75" s="18"/>
      <c r="I75" s="18"/>
      <c r="J75" s="52">
        <f>I63*I72</f>
        <v>3000</v>
      </c>
      <c r="K75" s="31" t="s">
        <v>27</v>
      </c>
      <c r="L75" s="22"/>
      <c r="M75" s="1"/>
      <c r="P75" s="55"/>
      <c r="Q75" s="55"/>
      <c r="R75" s="54" t="s">
        <v>72</v>
      </c>
      <c r="S75" s="54">
        <f>IF(P74=3,S72,0)</f>
        <v>0</v>
      </c>
      <c r="T75" s="54">
        <f>IF(P74=3,S70,0)</f>
        <v>0</v>
      </c>
      <c r="U75" s="55"/>
      <c r="V75" s="55"/>
      <c r="W75" s="54" t="s">
        <v>2</v>
      </c>
      <c r="X75" s="54"/>
      <c r="Y75" s="54"/>
      <c r="Z75" s="55"/>
      <c r="AA75" s="55"/>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I75" s="2"/>
      <c r="IJ75" s="3"/>
      <c r="IK75" s="3"/>
      <c r="IL75" s="3"/>
      <c r="IM75" s="2"/>
      <c r="IN75" s="2"/>
      <c r="IO75" s="2"/>
      <c r="IP75" s="2"/>
      <c r="IQ75" s="2"/>
      <c r="IR75" s="2"/>
      <c r="IS75" s="2"/>
      <c r="IT75" s="2"/>
      <c r="IU75" s="2"/>
      <c r="IV75" s="2"/>
    </row>
    <row r="76" spans="1:256" ht="14.25" customHeight="1">
      <c r="A76" s="1"/>
      <c r="B76" s="258" t="s">
        <v>90</v>
      </c>
      <c r="C76" s="259"/>
      <c r="D76" s="259"/>
      <c r="E76" s="259"/>
      <c r="F76" s="259"/>
      <c r="G76" s="259"/>
      <c r="H76" s="18"/>
      <c r="I76" s="18"/>
      <c r="J76" s="52">
        <f>K63*I73*P35</f>
        <v>0</v>
      </c>
      <c r="K76" s="31" t="s">
        <v>27</v>
      </c>
      <c r="L76" s="22"/>
      <c r="M76" s="1"/>
      <c r="P76" s="55"/>
      <c r="Q76" s="55"/>
      <c r="R76" s="55" t="s">
        <v>74</v>
      </c>
      <c r="S76" s="54">
        <f>IF(P74=4,X72,0)</f>
        <v>0</v>
      </c>
      <c r="T76" s="54">
        <f>IF(P74=4,X70,0)</f>
        <v>0</v>
      </c>
      <c r="U76" s="55"/>
      <c r="V76" s="55"/>
      <c r="W76" s="54" t="b">
        <f>IF(U67=1,TRUE,FALSE)</f>
        <v>1</v>
      </c>
      <c r="X76" s="54" t="s">
        <v>2</v>
      </c>
      <c r="Y76" s="54">
        <f>SUM(Y78:Y79)</f>
        <v>0</v>
      </c>
      <c r="Z76" s="55"/>
      <c r="AA76" s="55"/>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I76" s="2"/>
      <c r="IJ76" s="3"/>
      <c r="IK76" s="3"/>
      <c r="IL76" s="3"/>
      <c r="IM76" s="2"/>
      <c r="IN76" s="2"/>
      <c r="IO76" s="2"/>
      <c r="IP76" s="2"/>
      <c r="IQ76" s="2"/>
      <c r="IR76" s="2"/>
      <c r="IS76" s="2"/>
      <c r="IT76" s="2"/>
      <c r="IU76" s="2"/>
      <c r="IV76" s="2"/>
    </row>
    <row r="77" spans="1:256" ht="14.25" customHeight="1">
      <c r="A77" s="1"/>
      <c r="B77" s="26"/>
      <c r="C77" s="18"/>
      <c r="D77" s="18"/>
      <c r="E77" s="18"/>
      <c r="F77" s="18"/>
      <c r="G77" s="18"/>
      <c r="H77" s="18"/>
      <c r="I77" s="18"/>
      <c r="J77" s="18"/>
      <c r="K77" s="18"/>
      <c r="L77" s="22"/>
      <c r="M77" s="1"/>
      <c r="P77" s="55"/>
      <c r="Q77" s="55"/>
      <c r="R77" s="55" t="s">
        <v>78</v>
      </c>
      <c r="S77" s="54">
        <f>IF(P74=5,Y72,0)</f>
        <v>0</v>
      </c>
      <c r="T77" s="54">
        <f>IF(P74=5,Y70,0)</f>
        <v>0</v>
      </c>
      <c r="U77" s="55"/>
      <c r="V77" s="55"/>
      <c r="W77" s="54" t="b">
        <f>IF(U44=2,TRUE,FALSE)</f>
        <v>0</v>
      </c>
      <c r="X77" s="63"/>
      <c r="Y77" s="63"/>
      <c r="Z77" s="55"/>
      <c r="AA77" s="55"/>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I77" s="2"/>
      <c r="IJ77" s="3"/>
      <c r="IK77" s="3"/>
      <c r="IL77" s="3"/>
      <c r="IM77" s="2"/>
      <c r="IN77" s="2"/>
      <c r="IO77" s="2"/>
      <c r="IP77" s="2"/>
      <c r="IQ77" s="2"/>
      <c r="IR77" s="2"/>
      <c r="IS77" s="2"/>
      <c r="IT77" s="2"/>
      <c r="IU77" s="2"/>
      <c r="IV77" s="2"/>
    </row>
    <row r="78" spans="1:256" ht="14.25" customHeight="1">
      <c r="A78" s="1"/>
      <c r="B78" s="26"/>
      <c r="C78" s="273" t="s">
        <v>91</v>
      </c>
      <c r="D78" s="249"/>
      <c r="E78" s="249"/>
      <c r="F78" s="249"/>
      <c r="G78" s="249"/>
      <c r="H78" s="249"/>
      <c r="I78" s="249"/>
      <c r="J78" s="249"/>
      <c r="K78" s="274"/>
      <c r="L78" s="22"/>
      <c r="M78" s="1"/>
      <c r="P78" s="55"/>
      <c r="Q78" s="55"/>
      <c r="R78" s="55"/>
      <c r="S78" s="68">
        <f>SUM(S74:S77)</f>
        <v>0</v>
      </c>
      <c r="T78" s="68">
        <f>SUM(T74:T77)</f>
        <v>0</v>
      </c>
      <c r="U78" s="55"/>
      <c r="V78" s="55"/>
      <c r="W78" s="55">
        <f>IF(SUM(U65+$U$67=2),-1,0)</f>
        <v>-1</v>
      </c>
      <c r="X78" s="55">
        <f>IF(U67+U65=4,1,0)</f>
        <v>0</v>
      </c>
      <c r="Y78" s="55">
        <f>SUM(W78:X78)</f>
        <v>-1</v>
      </c>
      <c r="Z78" s="55"/>
      <c r="AA78" s="55"/>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I78" s="2"/>
      <c r="IJ78" s="3"/>
      <c r="IK78" s="3"/>
      <c r="IL78" s="3"/>
      <c r="IM78" s="2"/>
      <c r="IN78" s="2"/>
      <c r="IO78" s="2"/>
      <c r="IP78" s="2"/>
      <c r="IQ78" s="2"/>
      <c r="IR78" s="2"/>
      <c r="IS78" s="2"/>
      <c r="IT78" s="2"/>
      <c r="IU78" s="2"/>
      <c r="IV78" s="2"/>
    </row>
    <row r="79" spans="1:256" ht="14.25" customHeight="1">
      <c r="A79" s="1"/>
      <c r="B79" s="57"/>
      <c r="C79" s="58"/>
      <c r="D79" s="58"/>
      <c r="E79" s="58"/>
      <c r="F79" s="58"/>
      <c r="G79" s="58"/>
      <c r="H79" s="58"/>
      <c r="I79" s="58"/>
      <c r="J79" s="58"/>
      <c r="K79" s="58"/>
      <c r="L79" s="59"/>
      <c r="M79" s="1"/>
      <c r="P79" s="55"/>
      <c r="Q79" s="55"/>
      <c r="R79" s="55"/>
      <c r="S79" s="55"/>
      <c r="T79" s="55"/>
      <c r="U79" s="55"/>
      <c r="V79" s="55"/>
      <c r="W79" s="55">
        <f>IF(SUM(U65=2),-1,0)</f>
        <v>0</v>
      </c>
      <c r="X79" s="55">
        <f>IF(U67=1,1,0)</f>
        <v>1</v>
      </c>
      <c r="Y79" s="55">
        <f>SUM(W79:X79)</f>
        <v>1</v>
      </c>
      <c r="Z79" s="55"/>
      <c r="AA79" s="55"/>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I79" s="2"/>
      <c r="IJ79" s="3"/>
      <c r="IK79" s="3"/>
      <c r="IL79" s="3"/>
      <c r="IM79" s="2"/>
      <c r="IN79" s="2"/>
      <c r="IO79" s="2"/>
      <c r="IP79" s="2"/>
      <c r="IQ79" s="2"/>
      <c r="IR79" s="2"/>
      <c r="IS79" s="2"/>
      <c r="IT79" s="2"/>
      <c r="IU79" s="2"/>
      <c r="IV79" s="2"/>
    </row>
    <row r="80" spans="1:256" ht="14.25" customHeight="1">
      <c r="A80" s="1"/>
      <c r="B80" s="1"/>
      <c r="C80" s="1"/>
      <c r="D80" s="1"/>
      <c r="E80" s="1"/>
      <c r="F80" s="1"/>
      <c r="G80" s="1"/>
      <c r="H80" s="1"/>
      <c r="I80" s="1"/>
      <c r="J80" s="1"/>
      <c r="K80" s="1"/>
      <c r="L80" s="1"/>
      <c r="M80" s="1"/>
      <c r="P80" s="55"/>
      <c r="Q80" s="55"/>
      <c r="R80" s="55"/>
      <c r="S80" s="55"/>
      <c r="T80" s="55"/>
      <c r="U80" s="55"/>
      <c r="V80" s="55"/>
      <c r="W80" s="55">
        <f>IF(SUM(U67=2),0,-1)</f>
        <v>-1</v>
      </c>
      <c r="X80" s="55">
        <f>IF(U65=1,1,0)</f>
        <v>1</v>
      </c>
      <c r="Y80" s="55" t="b">
        <f>IF(X82=0,TRUE,FALSE)</f>
        <v>1</v>
      </c>
      <c r="Z80" s="55">
        <f>SUM(Y76+X80)</f>
        <v>1</v>
      </c>
      <c r="AA80" s="55"/>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I80" s="2"/>
      <c r="IJ80" s="3"/>
      <c r="IK80" s="3"/>
      <c r="IL80" s="3"/>
      <c r="IM80" s="2"/>
      <c r="IN80" s="2"/>
      <c r="IO80" s="2"/>
      <c r="IP80" s="2"/>
      <c r="IQ80" s="2"/>
      <c r="IR80" s="2"/>
      <c r="IS80" s="2"/>
      <c r="IT80" s="2"/>
      <c r="IU80" s="2"/>
      <c r="IV80" s="2"/>
    </row>
    <row r="81" spans="1:256">
      <c r="A81" s="2"/>
      <c r="B81" s="2"/>
      <c r="C81" s="2"/>
      <c r="D81" s="2"/>
      <c r="E81" s="2"/>
      <c r="F81" s="2"/>
      <c r="G81" s="2"/>
      <c r="H81" s="2"/>
      <c r="I81" s="2"/>
      <c r="J81" s="2"/>
      <c r="K81" s="2"/>
      <c r="L81" s="2"/>
      <c r="M81" s="2"/>
      <c r="P81" s="55"/>
      <c r="Q81" s="55"/>
      <c r="R81" s="55"/>
      <c r="S81" s="55"/>
      <c r="T81" s="55"/>
      <c r="U81" s="55"/>
      <c r="V81" s="55"/>
      <c r="W81" s="55"/>
      <c r="X81" s="55"/>
      <c r="Y81" s="55"/>
      <c r="Z81" s="55">
        <f>SUM(Z80+W80)</f>
        <v>0</v>
      </c>
      <c r="AA81" s="55"/>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I81" s="2"/>
      <c r="IJ81" s="3"/>
      <c r="IK81" s="3"/>
      <c r="IL81" s="3"/>
      <c r="IM81" s="2"/>
      <c r="IN81" s="2"/>
      <c r="IO81" s="2"/>
      <c r="IP81" s="2"/>
      <c r="IQ81" s="2"/>
      <c r="IR81" s="2"/>
      <c r="IS81" s="2"/>
      <c r="IT81" s="2"/>
      <c r="IU81" s="2"/>
      <c r="IV81" s="2"/>
    </row>
    <row r="82" spans="1:256">
      <c r="A82" s="2"/>
      <c r="B82" s="2"/>
      <c r="C82" s="2"/>
      <c r="D82" s="2"/>
      <c r="E82" s="2"/>
      <c r="F82" s="2"/>
      <c r="G82" s="2"/>
      <c r="H82" s="2"/>
      <c r="I82" s="2"/>
      <c r="J82" s="2"/>
      <c r="K82" s="2"/>
      <c r="L82" s="2"/>
      <c r="M82" s="2"/>
      <c r="P82" s="55"/>
      <c r="Q82" s="55"/>
      <c r="R82" s="55"/>
      <c r="S82" s="55"/>
      <c r="T82" s="55"/>
      <c r="U82" s="55"/>
      <c r="V82" s="55"/>
      <c r="W82" s="55"/>
      <c r="X82" s="55">
        <f>IF(U67=1,Y76,Z80)</f>
        <v>0</v>
      </c>
      <c r="Y82" s="55"/>
      <c r="Z82" s="55"/>
      <c r="AA82" s="55"/>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I82" s="2"/>
      <c r="IJ82" s="3"/>
      <c r="IK82" s="3"/>
      <c r="IL82" s="3"/>
      <c r="IM82" s="2"/>
      <c r="IN82" s="2"/>
      <c r="IO82" s="2"/>
      <c r="IP82" s="2"/>
      <c r="IQ82" s="2"/>
      <c r="IR82" s="2"/>
      <c r="IS82" s="2"/>
      <c r="IT82" s="2"/>
      <c r="IU82" s="2"/>
      <c r="IV82" s="2"/>
    </row>
    <row r="83" spans="1:256">
      <c r="A83" s="2"/>
      <c r="B83" s="2"/>
      <c r="C83" s="2"/>
      <c r="D83" s="2"/>
      <c r="E83" s="2"/>
      <c r="F83" s="2"/>
      <c r="G83" s="2"/>
      <c r="H83" s="2"/>
      <c r="I83" s="2"/>
      <c r="J83" s="2"/>
      <c r="K83" s="2"/>
      <c r="L83" s="2"/>
      <c r="M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I83" s="2"/>
      <c r="IJ83" s="3"/>
      <c r="IK83" s="3"/>
      <c r="IL83" s="3"/>
      <c r="IM83" s="2"/>
      <c r="IN83" s="2"/>
      <c r="IO83" s="2"/>
      <c r="IP83" s="2"/>
      <c r="IQ83" s="2"/>
      <c r="IR83" s="2"/>
      <c r="IS83" s="2"/>
      <c r="IT83" s="2"/>
      <c r="IU83" s="2"/>
      <c r="IV83" s="2"/>
    </row>
    <row r="84" spans="1:256">
      <c r="A84" s="2"/>
      <c r="B84" s="2"/>
      <c r="C84" s="2"/>
      <c r="D84" s="2"/>
      <c r="E84" s="2"/>
      <c r="F84" s="2"/>
      <c r="G84" s="2"/>
      <c r="H84" s="2"/>
      <c r="I84" s="2"/>
      <c r="J84" s="2"/>
      <c r="K84" s="2"/>
      <c r="L84" s="2"/>
      <c r="M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I84" s="2"/>
      <c r="IJ84" s="3"/>
      <c r="IK84" s="3"/>
      <c r="IL84" s="3"/>
      <c r="IM84" s="2"/>
      <c r="IN84" s="2"/>
      <c r="IO84" s="2"/>
      <c r="IP84" s="2"/>
      <c r="IQ84" s="2"/>
      <c r="IR84" s="2"/>
      <c r="IS84" s="2"/>
      <c r="IT84" s="2"/>
      <c r="IU84" s="2"/>
      <c r="IV84" s="2"/>
    </row>
    <row r="85" spans="1:256">
      <c r="A85" s="2"/>
      <c r="B85" s="2"/>
      <c r="C85" s="2"/>
      <c r="D85" s="2"/>
      <c r="E85" s="2"/>
      <c r="F85" s="2"/>
      <c r="G85" s="2"/>
      <c r="H85" s="2"/>
      <c r="I85" s="2"/>
      <c r="J85" s="2"/>
      <c r="K85" s="2"/>
      <c r="L85" s="2"/>
      <c r="M85" s="2"/>
      <c r="Z85" t="s">
        <v>2</v>
      </c>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I85" s="2"/>
      <c r="IJ85" s="3"/>
      <c r="IK85" s="3"/>
      <c r="IL85" s="3"/>
      <c r="IM85" s="2"/>
      <c r="IN85" s="2"/>
      <c r="IO85" s="2"/>
      <c r="IP85" s="2"/>
      <c r="IQ85" s="2"/>
      <c r="IR85" s="2"/>
      <c r="IS85" s="2"/>
      <c r="IT85" s="2"/>
      <c r="IU85" s="2"/>
      <c r="IV85" s="2"/>
    </row>
    <row r="86" spans="1:256">
      <c r="A86" s="2"/>
      <c r="B86" s="2"/>
      <c r="C86" s="2"/>
      <c r="D86" s="2"/>
      <c r="E86" s="2"/>
      <c r="F86" s="2"/>
      <c r="G86" s="2"/>
      <c r="H86" s="2"/>
      <c r="I86" s="2"/>
      <c r="J86" s="2"/>
      <c r="K86" s="2"/>
      <c r="L86" s="2"/>
      <c r="M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c r="GQ86" s="2"/>
      <c r="GR86" s="2"/>
      <c r="GS86" s="2"/>
      <c r="GT86" s="2"/>
      <c r="GU86" s="2"/>
      <c r="GV86" s="2"/>
      <c r="GW86" s="2"/>
      <c r="GX86" s="2"/>
      <c r="GY86" s="2"/>
      <c r="GZ86" s="2"/>
      <c r="HA86" s="2"/>
      <c r="HB86" s="2"/>
      <c r="HC86" s="2"/>
      <c r="HD86" s="2"/>
      <c r="HE86" s="2"/>
      <c r="HF86" s="2"/>
      <c r="HG86" s="2"/>
      <c r="HH86" s="2"/>
      <c r="HI86" s="2"/>
      <c r="HJ86" s="2"/>
      <c r="HK86" s="2"/>
      <c r="HL86" s="2"/>
      <c r="HM86" s="2"/>
      <c r="HN86" s="2"/>
      <c r="HO86" s="2"/>
      <c r="HP86" s="2"/>
      <c r="HQ86" s="2"/>
      <c r="HR86" s="2"/>
      <c r="HS86" s="2"/>
      <c r="HT86" s="2"/>
      <c r="HU86" s="2"/>
      <c r="HV86" s="2"/>
      <c r="HW86" s="2"/>
      <c r="HX86" s="2"/>
      <c r="HY86" s="2"/>
      <c r="HZ86" s="2"/>
      <c r="IA86" s="2"/>
      <c r="IB86" s="2"/>
      <c r="IC86" s="2"/>
      <c r="ID86" s="2"/>
      <c r="IE86" s="2"/>
      <c r="IF86" s="2"/>
      <c r="II86" s="2"/>
      <c r="IJ86" s="3"/>
      <c r="IK86" s="3"/>
      <c r="IL86" s="3"/>
      <c r="IM86" s="2"/>
      <c r="IN86" s="2"/>
      <c r="IO86" s="2"/>
      <c r="IP86" s="2"/>
      <c r="IQ86" s="2"/>
      <c r="IR86" s="2"/>
      <c r="IS86" s="2"/>
      <c r="IT86" s="2"/>
      <c r="IU86" s="2"/>
      <c r="IV86" s="2"/>
    </row>
    <row r="87" spans="1:256">
      <c r="A87" s="2"/>
      <c r="B87" s="2"/>
      <c r="C87" s="2"/>
      <c r="D87" s="2"/>
      <c r="E87" s="2"/>
      <c r="F87" s="2"/>
      <c r="G87" s="2"/>
      <c r="H87" s="2"/>
      <c r="I87" s="2"/>
      <c r="J87" s="2"/>
      <c r="K87" s="2"/>
      <c r="L87" s="2"/>
      <c r="M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c r="GQ87" s="2"/>
      <c r="GR87" s="2"/>
      <c r="GS87" s="2"/>
      <c r="GT87" s="2"/>
      <c r="GU87" s="2"/>
      <c r="GV87" s="2"/>
      <c r="GW87" s="2"/>
      <c r="GX87" s="2"/>
      <c r="GY87" s="2"/>
      <c r="GZ87" s="2"/>
      <c r="HA87" s="2"/>
      <c r="HB87" s="2"/>
      <c r="HC87" s="2"/>
      <c r="HD87" s="2"/>
      <c r="HE87" s="2"/>
      <c r="HF87" s="2"/>
      <c r="HG87" s="2"/>
      <c r="HH87" s="2"/>
      <c r="HI87" s="2"/>
      <c r="HJ87" s="2"/>
      <c r="HK87" s="2"/>
      <c r="HL87" s="2"/>
      <c r="HM87" s="2"/>
      <c r="HN87" s="2"/>
      <c r="HO87" s="2"/>
      <c r="HP87" s="2"/>
      <c r="HQ87" s="2"/>
      <c r="HR87" s="2"/>
      <c r="HS87" s="2"/>
      <c r="HT87" s="2"/>
      <c r="HU87" s="2"/>
      <c r="HV87" s="2"/>
      <c r="HW87" s="2"/>
      <c r="HX87" s="2"/>
      <c r="HY87" s="2"/>
      <c r="HZ87" s="2"/>
      <c r="IA87" s="2"/>
      <c r="IB87" s="2"/>
      <c r="IC87" s="2"/>
      <c r="ID87" s="2"/>
      <c r="IE87" s="2"/>
      <c r="IF87" s="2"/>
      <c r="II87" s="2"/>
      <c r="IJ87" s="3"/>
      <c r="IK87" s="3"/>
      <c r="IL87" s="3"/>
      <c r="IM87" s="2"/>
      <c r="IN87" s="2"/>
      <c r="IO87" s="2"/>
      <c r="IP87" s="2"/>
      <c r="IQ87" s="2"/>
      <c r="IR87" s="2"/>
      <c r="IS87" s="2"/>
      <c r="IT87" s="2"/>
      <c r="IU87" s="2"/>
      <c r="IV87" s="2"/>
    </row>
    <row r="88" spans="1:256">
      <c r="A88" s="2"/>
      <c r="B88" s="2"/>
      <c r="C88" s="2"/>
      <c r="D88" s="2"/>
      <c r="E88" s="2"/>
      <c r="F88" s="2"/>
      <c r="G88" s="2"/>
      <c r="H88" s="2"/>
      <c r="I88" s="2"/>
      <c r="J88" s="2"/>
      <c r="K88" s="2"/>
      <c r="L88" s="2"/>
      <c r="M88" s="2"/>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c r="GH88" s="2"/>
      <c r="GI88" s="2"/>
      <c r="GJ88" s="2"/>
      <c r="GK88" s="2"/>
      <c r="GL88" s="2"/>
      <c r="GM88" s="2"/>
      <c r="GN88" s="2"/>
      <c r="GO88" s="2"/>
      <c r="GP88" s="2"/>
      <c r="GQ88" s="2"/>
      <c r="GR88" s="2"/>
      <c r="GS88" s="2"/>
      <c r="GT88" s="2"/>
      <c r="GU88" s="2"/>
      <c r="GV88" s="2"/>
      <c r="GW88" s="2"/>
      <c r="GX88" s="2"/>
      <c r="GY88" s="2"/>
      <c r="GZ88" s="2"/>
      <c r="HA88" s="2"/>
      <c r="HB88" s="2"/>
      <c r="HC88" s="2"/>
      <c r="HD88" s="2"/>
      <c r="HE88" s="2"/>
      <c r="HF88" s="2"/>
      <c r="HG88" s="2"/>
      <c r="HH88" s="2"/>
      <c r="HI88" s="2"/>
      <c r="HJ88" s="2"/>
      <c r="HK88" s="2"/>
      <c r="HL88" s="2"/>
      <c r="HM88" s="2"/>
      <c r="HN88" s="2"/>
      <c r="HO88" s="2"/>
      <c r="HP88" s="2"/>
      <c r="HQ88" s="2"/>
      <c r="HR88" s="2"/>
      <c r="HS88" s="2"/>
      <c r="HT88" s="2"/>
      <c r="HU88" s="2"/>
      <c r="HV88" s="2"/>
      <c r="HW88" s="2"/>
      <c r="HX88" s="2"/>
      <c r="HY88" s="2"/>
      <c r="HZ88" s="2"/>
      <c r="IA88" s="2"/>
      <c r="IB88" s="2"/>
      <c r="IC88" s="2"/>
      <c r="ID88" s="2"/>
      <c r="IE88" s="2"/>
      <c r="IF88" s="2"/>
      <c r="II88" s="2"/>
      <c r="IJ88" s="3"/>
      <c r="IK88" s="3"/>
      <c r="IL88" s="3"/>
      <c r="IM88" s="2"/>
      <c r="IN88" s="2"/>
      <c r="IO88" s="2"/>
      <c r="IP88" s="2"/>
      <c r="IQ88" s="2"/>
      <c r="IR88" s="2"/>
      <c r="IS88" s="2"/>
      <c r="IT88" s="2"/>
      <c r="IU88" s="2"/>
      <c r="IV88" s="2"/>
    </row>
    <row r="89" spans="1:256">
      <c r="A89" s="2"/>
      <c r="B89" s="2"/>
      <c r="C89" s="2"/>
      <c r="D89" s="2"/>
      <c r="E89" s="2"/>
      <c r="F89" s="2"/>
      <c r="G89" s="2"/>
      <c r="H89" s="2"/>
      <c r="I89" s="2"/>
      <c r="J89" s="2"/>
      <c r="K89" s="2"/>
      <c r="L89" s="2"/>
      <c r="M89" s="2"/>
      <c r="FA89" s="2"/>
      <c r="FB89" s="2"/>
      <c r="FC89" s="2"/>
      <c r="FD89" s="2"/>
      <c r="FE89" s="2"/>
      <c r="FF89" s="2"/>
      <c r="FG89" s="2"/>
      <c r="FH89" s="2"/>
      <c r="FI89" s="2"/>
      <c r="FJ89" s="2"/>
      <c r="FK89" s="2"/>
      <c r="FL89" s="2"/>
      <c r="FM89" s="2"/>
      <c r="FN89" s="2"/>
      <c r="FO89" s="2"/>
      <c r="FP89" s="2"/>
      <c r="FQ89" s="2"/>
      <c r="FR89" s="2"/>
      <c r="FS89" s="2"/>
      <c r="FT89" s="2"/>
      <c r="FU89" s="2"/>
      <c r="FV89" s="2"/>
      <c r="FW89" s="2"/>
      <c r="FX89" s="2"/>
      <c r="FY89" s="2"/>
      <c r="FZ89" s="2"/>
      <c r="GA89" s="2"/>
      <c r="GB89" s="2"/>
      <c r="GC89" s="2"/>
      <c r="GD89" s="2"/>
      <c r="GE89" s="2"/>
      <c r="GF89" s="2"/>
      <c r="GG89" s="2"/>
      <c r="GH89" s="2"/>
      <c r="GI89" s="2"/>
      <c r="GJ89" s="2"/>
      <c r="GK89" s="2"/>
      <c r="GL89" s="2"/>
      <c r="GM89" s="2"/>
      <c r="GN89" s="2"/>
      <c r="GO89" s="2"/>
      <c r="GP89" s="2"/>
      <c r="GQ89" s="2"/>
      <c r="GR89" s="2"/>
      <c r="GS89" s="2"/>
      <c r="GT89" s="2"/>
      <c r="GU89" s="2"/>
      <c r="GV89" s="2"/>
      <c r="GW89" s="2"/>
      <c r="GX89" s="2"/>
      <c r="GY89" s="2"/>
      <c r="GZ89" s="2"/>
      <c r="HA89" s="2"/>
      <c r="HB89" s="2"/>
      <c r="HC89" s="2"/>
      <c r="HD89" s="2"/>
      <c r="HE89" s="2"/>
      <c r="HF89" s="2"/>
      <c r="HG89" s="2"/>
      <c r="HH89" s="2"/>
      <c r="HI89" s="2"/>
      <c r="HJ89" s="2"/>
      <c r="HK89" s="2"/>
      <c r="HL89" s="2"/>
      <c r="HM89" s="2"/>
      <c r="HN89" s="2"/>
      <c r="HO89" s="2"/>
      <c r="HP89" s="2"/>
      <c r="HQ89" s="2"/>
      <c r="HR89" s="2"/>
      <c r="HS89" s="2"/>
      <c r="HT89" s="2"/>
      <c r="HU89" s="2"/>
      <c r="HV89" s="2"/>
      <c r="HW89" s="2"/>
      <c r="HX89" s="2"/>
      <c r="HY89" s="2"/>
      <c r="HZ89" s="2"/>
      <c r="IA89" s="2"/>
      <c r="IB89" s="2"/>
      <c r="IC89" s="2"/>
      <c r="ID89" s="2"/>
      <c r="IE89" s="2"/>
      <c r="IF89" s="2"/>
      <c r="II89" s="2"/>
      <c r="IJ89" s="3"/>
      <c r="IK89" s="3"/>
      <c r="IL89" s="3"/>
      <c r="IM89" s="2"/>
      <c r="IN89" s="2"/>
      <c r="IO89" s="2"/>
      <c r="IP89" s="2"/>
      <c r="IQ89" s="2"/>
      <c r="IR89" s="2"/>
      <c r="IS89" s="2"/>
      <c r="IT89" s="2"/>
      <c r="IU89" s="2"/>
      <c r="IV89" s="2"/>
    </row>
    <row r="90" spans="1:256">
      <c r="A90" s="2"/>
      <c r="B90" s="2"/>
      <c r="C90" s="2"/>
      <c r="D90" s="2"/>
      <c r="E90" s="2"/>
      <c r="F90" s="2"/>
      <c r="G90" s="2"/>
      <c r="H90" s="2"/>
      <c r="I90" s="2"/>
      <c r="J90" s="2"/>
      <c r="K90" s="2"/>
      <c r="L90" s="2"/>
      <c r="M90" s="2"/>
      <c r="FA90" s="2"/>
      <c r="FB90" s="2"/>
      <c r="FC90" s="2"/>
      <c r="FD90" s="2"/>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c r="GH90" s="2"/>
      <c r="GI90" s="2"/>
      <c r="GJ90" s="2"/>
      <c r="GK90" s="2"/>
      <c r="GL90" s="2"/>
      <c r="GM90" s="2"/>
      <c r="GN90" s="2"/>
      <c r="GO90" s="2"/>
      <c r="GP90" s="2"/>
      <c r="GQ90" s="2"/>
      <c r="GR90" s="2"/>
      <c r="GS90" s="2"/>
      <c r="GT90" s="2"/>
      <c r="GU90" s="2"/>
      <c r="GV90" s="2"/>
      <c r="GW90" s="2"/>
      <c r="GX90" s="2"/>
      <c r="GY90" s="2"/>
      <c r="GZ90" s="2"/>
      <c r="HA90" s="2"/>
      <c r="HB90" s="2"/>
      <c r="HC90" s="2"/>
      <c r="HD90" s="2"/>
      <c r="HE90" s="2"/>
      <c r="HF90" s="2"/>
      <c r="HG90" s="2"/>
      <c r="HH90" s="2"/>
      <c r="HI90" s="2"/>
      <c r="HJ90" s="2"/>
      <c r="HK90" s="2"/>
      <c r="HL90" s="2"/>
      <c r="HM90" s="2"/>
      <c r="HN90" s="2"/>
      <c r="HO90" s="2"/>
      <c r="HP90" s="2"/>
      <c r="HQ90" s="2"/>
      <c r="HR90" s="2"/>
      <c r="HS90" s="2"/>
      <c r="HT90" s="2"/>
      <c r="HU90" s="2"/>
      <c r="HV90" s="2"/>
      <c r="HW90" s="2"/>
      <c r="HX90" s="2"/>
      <c r="HY90" s="2"/>
      <c r="HZ90" s="2"/>
      <c r="IA90" s="2"/>
      <c r="IB90" s="2"/>
      <c r="IC90" s="2"/>
      <c r="ID90" s="2"/>
      <c r="IE90" s="2"/>
      <c r="IF90" s="2"/>
      <c r="II90" s="2"/>
      <c r="IJ90" s="3"/>
      <c r="IK90" s="3"/>
      <c r="IL90" s="3"/>
      <c r="IM90" s="2"/>
      <c r="IN90" s="2"/>
      <c r="IO90" s="2"/>
      <c r="IP90" s="2"/>
      <c r="IQ90" s="2"/>
      <c r="IR90" s="2"/>
      <c r="IS90" s="2"/>
      <c r="IT90" s="2"/>
      <c r="IU90" s="2"/>
      <c r="IV90" s="2"/>
    </row>
    <row r="91" spans="1:256">
      <c r="A91" s="2"/>
      <c r="B91" s="2"/>
      <c r="C91" s="2"/>
      <c r="D91" s="2"/>
      <c r="E91" s="2"/>
      <c r="F91" s="2"/>
      <c r="G91" s="2"/>
      <c r="H91" s="2"/>
      <c r="I91" s="2"/>
      <c r="J91" s="2"/>
      <c r="K91" s="2"/>
      <c r="L91" s="2"/>
      <c r="M91" s="2"/>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c r="GP91" s="2"/>
      <c r="GQ91" s="2"/>
      <c r="GR91" s="2"/>
      <c r="GS91" s="2"/>
      <c r="GT91" s="2"/>
      <c r="GU91" s="2"/>
      <c r="GV91" s="2"/>
      <c r="GW91" s="2"/>
      <c r="GX91" s="2"/>
      <c r="GY91" s="2"/>
      <c r="GZ91" s="2"/>
      <c r="HA91" s="2"/>
      <c r="HB91" s="2"/>
      <c r="HC91" s="2"/>
      <c r="HD91" s="2"/>
      <c r="HE91" s="2"/>
      <c r="HF91" s="2"/>
      <c r="HG91" s="2"/>
      <c r="HH91" s="2"/>
      <c r="HI91" s="2"/>
      <c r="HJ91" s="2"/>
      <c r="HK91" s="2"/>
      <c r="HL91" s="2"/>
      <c r="HM91" s="2"/>
      <c r="HN91" s="2"/>
      <c r="HO91" s="2"/>
      <c r="HP91" s="2"/>
      <c r="HQ91" s="2"/>
      <c r="HR91" s="2"/>
      <c r="HS91" s="2"/>
      <c r="HT91" s="2"/>
      <c r="HU91" s="2"/>
      <c r="HV91" s="2"/>
      <c r="HW91" s="2"/>
      <c r="HX91" s="2"/>
      <c r="HY91" s="2"/>
      <c r="HZ91" s="2"/>
      <c r="IA91" s="2"/>
      <c r="IB91" s="2"/>
      <c r="IC91" s="2"/>
      <c r="ID91" s="2"/>
      <c r="IE91" s="2"/>
      <c r="IF91" s="2"/>
      <c r="II91" s="2"/>
      <c r="IJ91" s="3"/>
      <c r="IK91" s="3"/>
      <c r="IL91" s="3"/>
      <c r="IM91" s="2"/>
      <c r="IN91" s="2"/>
      <c r="IO91" s="2"/>
      <c r="IP91" s="2"/>
      <c r="IQ91" s="2"/>
      <c r="IR91" s="2"/>
      <c r="IS91" s="2"/>
      <c r="IT91" s="2"/>
      <c r="IU91" s="2"/>
      <c r="IV91" s="2"/>
    </row>
    <row r="92" spans="1:256">
      <c r="A92" s="2"/>
      <c r="B92" s="2"/>
      <c r="C92" s="2"/>
      <c r="D92" s="2"/>
      <c r="E92" s="2"/>
      <c r="F92" s="2"/>
      <c r="G92" s="2"/>
      <c r="H92" s="2"/>
      <c r="I92" s="2"/>
      <c r="J92" s="2"/>
      <c r="K92" s="2"/>
      <c r="L92" s="2"/>
      <c r="M92" s="2"/>
      <c r="FA92" s="2"/>
      <c r="FB92" s="2"/>
      <c r="FC92" s="2"/>
      <c r="FD92" s="2"/>
      <c r="FE92" s="2"/>
      <c r="FF92" s="2"/>
      <c r="FG92" s="2"/>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c r="GH92" s="2"/>
      <c r="GI92" s="2"/>
      <c r="GJ92" s="2"/>
      <c r="GK92" s="2"/>
      <c r="GL92" s="2"/>
      <c r="GM92" s="2"/>
      <c r="GN92" s="2"/>
      <c r="GO92" s="2"/>
      <c r="GP92" s="2"/>
      <c r="GQ92" s="2"/>
      <c r="GR92" s="2"/>
      <c r="GS92" s="2"/>
      <c r="GT92" s="2"/>
      <c r="GU92" s="2"/>
      <c r="GV92" s="2"/>
      <c r="GW92" s="2"/>
      <c r="GX92" s="2"/>
      <c r="GY92" s="2"/>
      <c r="GZ92" s="2"/>
      <c r="HA92" s="2"/>
      <c r="HB92" s="2"/>
      <c r="HC92" s="2"/>
      <c r="HD92" s="2"/>
      <c r="HE92" s="2"/>
      <c r="HF92" s="2"/>
      <c r="HG92" s="2"/>
      <c r="HH92" s="2"/>
      <c r="HI92" s="2"/>
      <c r="HJ92" s="2"/>
      <c r="HK92" s="2"/>
      <c r="HL92" s="2"/>
      <c r="HM92" s="2"/>
      <c r="HN92" s="2"/>
      <c r="HO92" s="2"/>
      <c r="HP92" s="2"/>
      <c r="HQ92" s="2"/>
      <c r="HR92" s="2"/>
      <c r="HS92" s="2"/>
      <c r="HT92" s="2"/>
      <c r="HU92" s="2"/>
      <c r="HV92" s="2"/>
      <c r="HW92" s="2"/>
      <c r="HX92" s="2"/>
      <c r="HY92" s="2"/>
      <c r="HZ92" s="2"/>
      <c r="IA92" s="2"/>
      <c r="IB92" s="2"/>
      <c r="IC92" s="2"/>
      <c r="ID92" s="2"/>
      <c r="IE92" s="2"/>
      <c r="IF92" s="2"/>
      <c r="II92" s="2"/>
      <c r="IJ92" s="3"/>
      <c r="IK92" s="3"/>
      <c r="IL92" s="3"/>
      <c r="IM92" s="2"/>
      <c r="IN92" s="2"/>
      <c r="IO92" s="2"/>
      <c r="IP92" s="2"/>
      <c r="IQ92" s="2"/>
      <c r="IR92" s="2"/>
      <c r="IS92" s="2"/>
      <c r="IT92" s="2"/>
      <c r="IU92" s="2"/>
      <c r="IV92" s="2"/>
    </row>
    <row r="93" spans="1:256">
      <c r="A93" s="2"/>
      <c r="B93" s="2"/>
      <c r="C93" s="2"/>
      <c r="D93" s="2"/>
      <c r="E93" s="2"/>
      <c r="F93" s="2"/>
      <c r="G93" s="2"/>
      <c r="H93" s="2"/>
      <c r="I93" s="2"/>
      <c r="J93" s="2"/>
      <c r="K93" s="2"/>
      <c r="L93" s="2"/>
      <c r="M93" s="2"/>
      <c r="FA93" s="2"/>
      <c r="FB93" s="2"/>
      <c r="FC93" s="2"/>
      <c r="FD93" s="2"/>
      <c r="FE93" s="2"/>
      <c r="FF93" s="2"/>
      <c r="FG93" s="2"/>
      <c r="FH93" s="2"/>
      <c r="FI93" s="2"/>
      <c r="FJ93" s="2"/>
      <c r="FK93" s="2"/>
      <c r="FL93" s="2"/>
      <c r="FM93" s="2"/>
      <c r="FN93" s="2"/>
      <c r="FO93" s="2"/>
      <c r="FP93" s="2"/>
      <c r="FQ93" s="2"/>
      <c r="FR93" s="2"/>
      <c r="FS93" s="2"/>
      <c r="FT93" s="2"/>
      <c r="FU93" s="2"/>
      <c r="FV93" s="2"/>
      <c r="FW93" s="2"/>
      <c r="FX93" s="2"/>
      <c r="FY93" s="2"/>
      <c r="FZ93" s="2"/>
      <c r="GA93" s="2"/>
      <c r="GB93" s="2"/>
      <c r="GC93" s="2"/>
      <c r="GD93" s="2"/>
      <c r="GE93" s="2"/>
      <c r="GF93" s="2"/>
      <c r="GG93" s="2"/>
      <c r="GH93" s="2"/>
      <c r="GI93" s="2"/>
      <c r="GJ93" s="2"/>
      <c r="GK93" s="2"/>
      <c r="GL93" s="2"/>
      <c r="GM93" s="2"/>
      <c r="GN93" s="2"/>
      <c r="GO93" s="2"/>
      <c r="GP93" s="2"/>
      <c r="GQ93" s="2"/>
      <c r="GR93" s="2"/>
      <c r="GS93" s="2"/>
      <c r="GT93" s="2"/>
      <c r="GU93" s="2"/>
      <c r="GV93" s="2"/>
      <c r="GW93" s="2"/>
      <c r="GX93" s="2"/>
      <c r="GY93" s="2"/>
      <c r="GZ93" s="2"/>
      <c r="HA93" s="2"/>
      <c r="HB93" s="2"/>
      <c r="HC93" s="2"/>
      <c r="HD93" s="2"/>
      <c r="HE93" s="2"/>
      <c r="HF93" s="2"/>
      <c r="HG93" s="2"/>
      <c r="HH93" s="2"/>
      <c r="HI93" s="2"/>
      <c r="HJ93" s="2"/>
      <c r="HK93" s="2"/>
      <c r="HL93" s="2"/>
      <c r="HM93" s="2"/>
      <c r="HN93" s="2"/>
      <c r="HO93" s="2"/>
      <c r="HP93" s="2"/>
      <c r="HQ93" s="2"/>
      <c r="HR93" s="2"/>
      <c r="HS93" s="2"/>
      <c r="HT93" s="2"/>
      <c r="HU93" s="2"/>
      <c r="HV93" s="2"/>
      <c r="HW93" s="2"/>
      <c r="HX93" s="2"/>
      <c r="HY93" s="2"/>
      <c r="HZ93" s="2"/>
      <c r="IA93" s="2"/>
      <c r="IB93" s="2"/>
      <c r="IC93" s="2"/>
      <c r="ID93" s="2"/>
      <c r="IE93" s="2"/>
      <c r="IF93" s="2"/>
      <c r="II93" s="2"/>
      <c r="IJ93" s="3"/>
      <c r="IK93" s="3"/>
      <c r="IL93" s="3"/>
      <c r="IM93" s="2"/>
      <c r="IN93" s="2"/>
      <c r="IO93" s="2"/>
      <c r="IP93" s="2"/>
      <c r="IQ93" s="2"/>
      <c r="IR93" s="2"/>
      <c r="IS93" s="2"/>
      <c r="IT93" s="2"/>
      <c r="IU93" s="2"/>
      <c r="IV93" s="2"/>
    </row>
    <row r="94" spans="1:256">
      <c r="A94" s="2"/>
      <c r="B94" s="2"/>
      <c r="C94" s="2"/>
      <c r="D94" s="2"/>
      <c r="E94" s="2"/>
      <c r="F94" s="2"/>
      <c r="G94" s="2"/>
      <c r="H94" s="2"/>
      <c r="I94" s="2"/>
      <c r="J94" s="2"/>
      <c r="K94" s="2"/>
      <c r="L94" s="2"/>
      <c r="M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c r="GQ94" s="2"/>
      <c r="GR94" s="2"/>
      <c r="GS94" s="2"/>
      <c r="GT94" s="2"/>
      <c r="GU94" s="2"/>
      <c r="GV94" s="2"/>
      <c r="GW94" s="2"/>
      <c r="GX94" s="2"/>
      <c r="GY94" s="2"/>
      <c r="GZ94" s="2"/>
      <c r="HA94" s="2"/>
      <c r="HB94" s="2"/>
      <c r="HC94" s="2"/>
      <c r="HD94" s="2"/>
      <c r="HE94" s="2"/>
      <c r="HF94" s="2"/>
      <c r="HG94" s="2"/>
      <c r="HH94" s="2"/>
      <c r="HI94" s="2"/>
      <c r="HJ94" s="2"/>
      <c r="HK94" s="2"/>
      <c r="HL94" s="2"/>
      <c r="HM94" s="2"/>
      <c r="HN94" s="2"/>
      <c r="HO94" s="2"/>
      <c r="HP94" s="2"/>
      <c r="HQ94" s="2"/>
      <c r="HR94" s="2"/>
      <c r="HS94" s="2"/>
      <c r="HT94" s="2"/>
      <c r="HU94" s="2"/>
      <c r="HV94" s="2"/>
      <c r="HW94" s="2"/>
      <c r="HX94" s="2"/>
      <c r="HY94" s="2"/>
      <c r="HZ94" s="2"/>
      <c r="IA94" s="2"/>
      <c r="IB94" s="2"/>
      <c r="IC94" s="2"/>
      <c r="ID94" s="2"/>
      <c r="IE94" s="2"/>
      <c r="IF94" s="2"/>
      <c r="II94" s="2"/>
      <c r="IJ94" s="3"/>
      <c r="IK94" s="3"/>
      <c r="IL94" s="3"/>
      <c r="IM94" s="2"/>
      <c r="IN94" s="2"/>
      <c r="IO94" s="2"/>
      <c r="IP94" s="2"/>
      <c r="IQ94" s="2"/>
      <c r="IR94" s="2"/>
      <c r="IS94" s="2"/>
      <c r="IT94" s="2"/>
      <c r="IU94" s="2"/>
      <c r="IV94" s="2"/>
    </row>
    <row r="95" spans="1:256">
      <c r="A95" s="2"/>
      <c r="B95" s="2"/>
      <c r="C95" s="2"/>
      <c r="D95" s="2"/>
      <c r="E95" s="2"/>
      <c r="F95" s="2"/>
      <c r="G95" s="2"/>
      <c r="H95" s="2"/>
      <c r="I95" s="2"/>
      <c r="J95" s="2"/>
      <c r="K95" s="2"/>
      <c r="L95" s="2"/>
      <c r="M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c r="GQ95" s="2"/>
      <c r="GR95" s="2"/>
      <c r="GS95" s="2"/>
      <c r="GT95" s="2"/>
      <c r="GU95" s="2"/>
      <c r="GV95" s="2"/>
      <c r="GW95" s="2"/>
      <c r="GX95" s="2"/>
      <c r="GY95" s="2"/>
      <c r="GZ95" s="2"/>
      <c r="HA95" s="2"/>
      <c r="HB95" s="2"/>
      <c r="HC95" s="2"/>
      <c r="HD95" s="2"/>
      <c r="HE95" s="2"/>
      <c r="HF95" s="2"/>
      <c r="HG95" s="2"/>
      <c r="HH95" s="2"/>
      <c r="HI95" s="2"/>
      <c r="HJ95" s="2"/>
      <c r="HK95" s="2"/>
      <c r="HL95" s="2"/>
      <c r="HM95" s="2"/>
      <c r="HN95" s="2"/>
      <c r="HO95" s="2"/>
      <c r="HP95" s="2"/>
      <c r="HQ95" s="2"/>
      <c r="HR95" s="2"/>
      <c r="HS95" s="2"/>
      <c r="HT95" s="2"/>
      <c r="HU95" s="2"/>
      <c r="HV95" s="2"/>
      <c r="HW95" s="2"/>
      <c r="HX95" s="2"/>
      <c r="HY95" s="2"/>
      <c r="HZ95" s="2"/>
      <c r="IA95" s="2"/>
      <c r="IB95" s="2"/>
      <c r="IC95" s="2"/>
      <c r="ID95" s="2"/>
      <c r="IE95" s="2"/>
      <c r="IF95" s="2"/>
      <c r="II95" s="2"/>
      <c r="IJ95" s="3"/>
      <c r="IK95" s="3"/>
      <c r="IL95" s="3"/>
      <c r="IM95" s="2"/>
      <c r="IN95" s="2"/>
      <c r="IO95" s="2"/>
      <c r="IP95" s="2"/>
      <c r="IQ95" s="2"/>
      <c r="IR95" s="2"/>
      <c r="IS95" s="2"/>
      <c r="IT95" s="2"/>
      <c r="IU95" s="2"/>
      <c r="IV95" s="2"/>
    </row>
    <row r="96" spans="1:256">
      <c r="A96" s="2"/>
      <c r="B96" s="2"/>
      <c r="C96" s="2"/>
      <c r="D96" s="2"/>
      <c r="E96" s="2"/>
      <c r="F96" s="2"/>
      <c r="G96" s="2"/>
      <c r="H96" s="2"/>
      <c r="I96" s="2"/>
      <c r="J96" s="2"/>
      <c r="K96" s="2"/>
      <c r="L96" s="2"/>
      <c r="M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c r="GQ96" s="2"/>
      <c r="GR96" s="2"/>
      <c r="GS96" s="2"/>
      <c r="GT96" s="2"/>
      <c r="GU96" s="2"/>
      <c r="GV96" s="2"/>
      <c r="GW96" s="2"/>
      <c r="GX96" s="2"/>
      <c r="GY96" s="2"/>
      <c r="GZ96" s="2"/>
      <c r="HA96" s="2"/>
      <c r="HB96" s="2"/>
      <c r="HC96" s="2"/>
      <c r="HD96" s="2"/>
      <c r="HE96" s="2"/>
      <c r="HF96" s="2"/>
      <c r="HG96" s="2"/>
      <c r="HH96" s="2"/>
      <c r="HI96" s="2"/>
      <c r="HJ96" s="2"/>
      <c r="HK96" s="2"/>
      <c r="HL96" s="2"/>
      <c r="HM96" s="2"/>
      <c r="HN96" s="2"/>
      <c r="HO96" s="2"/>
      <c r="HP96" s="2"/>
      <c r="HQ96" s="2"/>
      <c r="HR96" s="2"/>
      <c r="HS96" s="2"/>
      <c r="HT96" s="2"/>
      <c r="HU96" s="2"/>
      <c r="HV96" s="2"/>
      <c r="HW96" s="2"/>
      <c r="HX96" s="2"/>
      <c r="HY96" s="2"/>
      <c r="HZ96" s="2"/>
      <c r="IA96" s="2"/>
      <c r="IB96" s="2"/>
      <c r="IC96" s="2"/>
      <c r="ID96" s="2"/>
      <c r="IE96" s="2"/>
      <c r="IF96" s="2"/>
      <c r="II96" s="2"/>
      <c r="IJ96" s="3"/>
      <c r="IK96" s="3"/>
      <c r="IL96" s="3"/>
      <c r="IM96" s="2"/>
      <c r="IN96" s="2"/>
      <c r="IO96" s="2"/>
      <c r="IP96" s="2"/>
      <c r="IQ96" s="2"/>
      <c r="IR96" s="2"/>
      <c r="IS96" s="2"/>
      <c r="IT96" s="2"/>
      <c r="IU96" s="2"/>
      <c r="IV96" s="2"/>
    </row>
    <row r="97" spans="1:256">
      <c r="A97" s="2"/>
      <c r="B97" s="2"/>
      <c r="C97" s="2"/>
      <c r="D97" s="2"/>
      <c r="E97" s="2"/>
      <c r="F97" s="2"/>
      <c r="G97" s="2"/>
      <c r="H97" s="2"/>
      <c r="I97" s="2"/>
      <c r="J97" s="2"/>
      <c r="K97" s="2"/>
      <c r="L97" s="2"/>
      <c r="M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c r="GQ97" s="2"/>
      <c r="GR97" s="2"/>
      <c r="GS97" s="2"/>
      <c r="GT97" s="2"/>
      <c r="GU97" s="2"/>
      <c r="GV97" s="2"/>
      <c r="GW97" s="2"/>
      <c r="GX97" s="2"/>
      <c r="GY97" s="2"/>
      <c r="GZ97" s="2"/>
      <c r="HA97" s="2"/>
      <c r="HB97" s="2"/>
      <c r="HC97" s="2"/>
      <c r="HD97" s="2"/>
      <c r="HE97" s="2"/>
      <c r="HF97" s="2"/>
      <c r="HG97" s="2"/>
      <c r="HH97" s="2"/>
      <c r="HI97" s="2"/>
      <c r="HJ97" s="2"/>
      <c r="HK97" s="2"/>
      <c r="HL97" s="2"/>
      <c r="HM97" s="2"/>
      <c r="HN97" s="2"/>
      <c r="HO97" s="2"/>
      <c r="HP97" s="2"/>
      <c r="HQ97" s="2"/>
      <c r="HR97" s="2"/>
      <c r="HS97" s="2"/>
      <c r="HT97" s="2"/>
      <c r="HU97" s="2"/>
      <c r="HV97" s="2"/>
      <c r="HW97" s="2"/>
      <c r="HX97" s="2"/>
      <c r="HY97" s="2"/>
      <c r="HZ97" s="2"/>
      <c r="IA97" s="2"/>
      <c r="IB97" s="2"/>
      <c r="IC97" s="2"/>
      <c r="ID97" s="2"/>
      <c r="IE97" s="2"/>
      <c r="IF97" s="2"/>
      <c r="II97" s="2"/>
      <c r="IJ97" s="3"/>
      <c r="IK97" s="3"/>
      <c r="IL97" s="3"/>
      <c r="IM97" s="2"/>
      <c r="IN97" s="2"/>
      <c r="IO97" s="2"/>
      <c r="IP97" s="2"/>
      <c r="IQ97" s="2"/>
      <c r="IR97" s="2"/>
      <c r="IS97" s="2"/>
      <c r="IT97" s="2"/>
      <c r="IU97" s="2"/>
      <c r="IV97" s="2"/>
    </row>
    <row r="98" spans="1:256">
      <c r="A98" s="2"/>
      <c r="B98" s="2"/>
      <c r="C98" s="2"/>
      <c r="D98" s="2"/>
      <c r="E98" s="2"/>
      <c r="F98" s="2"/>
      <c r="G98" s="2"/>
      <c r="H98" s="2"/>
      <c r="I98" s="2"/>
      <c r="J98" s="2"/>
      <c r="K98" s="2"/>
      <c r="L98" s="2"/>
      <c r="M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c r="GQ98" s="2"/>
      <c r="GR98" s="2"/>
      <c r="GS98" s="2"/>
      <c r="GT98" s="2"/>
      <c r="GU98" s="2"/>
      <c r="GV98" s="2"/>
      <c r="GW98" s="2"/>
      <c r="GX98" s="2"/>
      <c r="GY98" s="2"/>
      <c r="GZ98" s="2"/>
      <c r="HA98" s="2"/>
      <c r="HB98" s="2"/>
      <c r="HC98" s="2"/>
      <c r="HD98" s="2"/>
      <c r="HE98" s="2"/>
      <c r="HF98" s="2"/>
      <c r="HG98" s="2"/>
      <c r="HH98" s="2"/>
      <c r="HI98" s="2"/>
      <c r="HJ98" s="2"/>
      <c r="HK98" s="2"/>
      <c r="HL98" s="2"/>
      <c r="HM98" s="2"/>
      <c r="HN98" s="2"/>
      <c r="HO98" s="2"/>
      <c r="HP98" s="2"/>
      <c r="HQ98" s="2"/>
      <c r="HR98" s="2"/>
      <c r="HS98" s="2"/>
      <c r="HT98" s="2"/>
      <c r="HU98" s="2"/>
      <c r="HV98" s="2"/>
      <c r="HW98" s="2"/>
      <c r="HX98" s="2"/>
      <c r="HY98" s="2"/>
      <c r="HZ98" s="2"/>
      <c r="IA98" s="2"/>
      <c r="IB98" s="2"/>
      <c r="IC98" s="2"/>
      <c r="ID98" s="2"/>
      <c r="IE98" s="2"/>
      <c r="IF98" s="2"/>
      <c r="II98" s="2"/>
      <c r="IJ98" s="3"/>
      <c r="IK98" s="3"/>
      <c r="IL98" s="3"/>
      <c r="IM98" s="2"/>
      <c r="IN98" s="2"/>
      <c r="IO98" s="2"/>
      <c r="IP98" s="2"/>
      <c r="IQ98" s="2"/>
      <c r="IR98" s="2"/>
      <c r="IS98" s="2"/>
      <c r="IT98" s="2"/>
      <c r="IU98" s="2"/>
      <c r="IV98" s="2"/>
    </row>
    <row r="99" spans="1:256">
      <c r="A99" s="2"/>
      <c r="B99" s="2"/>
      <c r="C99" s="2"/>
      <c r="D99" s="2"/>
      <c r="E99" s="2"/>
      <c r="F99" s="2"/>
      <c r="G99" s="2"/>
      <c r="H99" s="2"/>
      <c r="I99" s="2"/>
      <c r="J99" s="2"/>
      <c r="K99" s="2"/>
      <c r="L99" s="2"/>
      <c r="M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c r="GQ99" s="2"/>
      <c r="GR99" s="2"/>
      <c r="GS99" s="2"/>
      <c r="GT99" s="2"/>
      <c r="GU99" s="2"/>
      <c r="GV99" s="2"/>
      <c r="GW99" s="2"/>
      <c r="GX99" s="2"/>
      <c r="GY99" s="2"/>
      <c r="GZ99" s="2"/>
      <c r="HA99" s="2"/>
      <c r="HB99" s="2"/>
      <c r="HC99" s="2"/>
      <c r="HD99" s="2"/>
      <c r="HE99" s="2"/>
      <c r="HF99" s="2"/>
      <c r="HG99" s="2"/>
      <c r="HH99" s="2"/>
      <c r="HI99" s="2"/>
      <c r="HJ99" s="2"/>
      <c r="HK99" s="2"/>
      <c r="HL99" s="2"/>
      <c r="HM99" s="2"/>
      <c r="HN99" s="2"/>
      <c r="HO99" s="2"/>
      <c r="HP99" s="2"/>
      <c r="HQ99" s="2"/>
      <c r="HR99" s="2"/>
      <c r="HS99" s="2"/>
      <c r="HT99" s="2"/>
      <c r="HU99" s="2"/>
      <c r="HV99" s="2"/>
      <c r="HW99" s="2"/>
      <c r="HX99" s="2"/>
      <c r="HY99" s="2"/>
      <c r="HZ99" s="2"/>
      <c r="IA99" s="2"/>
      <c r="IB99" s="2"/>
      <c r="IC99" s="2"/>
      <c r="ID99" s="2"/>
      <c r="IE99" s="2"/>
      <c r="IF99" s="2"/>
      <c r="II99" s="2"/>
      <c r="IJ99" s="3"/>
      <c r="IK99" s="3"/>
      <c r="IL99" s="3"/>
      <c r="IM99" s="2"/>
      <c r="IN99" s="2"/>
      <c r="IO99" s="2"/>
      <c r="IP99" s="2"/>
      <c r="IQ99" s="2"/>
      <c r="IR99" s="2"/>
      <c r="IS99" s="2"/>
      <c r="IT99" s="2"/>
      <c r="IU99" s="2"/>
      <c r="IV99" s="2"/>
    </row>
    <row r="100" spans="1:256">
      <c r="A100" s="2"/>
      <c r="B100" s="2"/>
      <c r="C100" s="2"/>
      <c r="D100" s="2"/>
      <c r="E100" s="2"/>
      <c r="F100" s="2"/>
      <c r="G100" s="2"/>
      <c r="H100" s="2"/>
      <c r="I100" s="2"/>
      <c r="J100" s="2"/>
      <c r="K100" s="2"/>
      <c r="L100" s="2"/>
      <c r="M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c r="GQ100" s="2"/>
      <c r="GR100" s="2"/>
      <c r="GS100" s="2"/>
      <c r="GT100" s="2"/>
      <c r="GU100" s="2"/>
      <c r="GV100" s="2"/>
      <c r="GW100" s="2"/>
      <c r="GX100" s="2"/>
      <c r="GY100" s="2"/>
      <c r="GZ100" s="2"/>
      <c r="HA100" s="2"/>
      <c r="HB100" s="2"/>
      <c r="HC100" s="2"/>
      <c r="HD100" s="2"/>
      <c r="HE100" s="2"/>
      <c r="HF100" s="2"/>
      <c r="HG100" s="2"/>
      <c r="HH100" s="2"/>
      <c r="HI100" s="2"/>
      <c r="HJ100" s="2"/>
      <c r="HK100" s="2"/>
      <c r="HL100" s="2"/>
      <c r="HM100" s="2"/>
      <c r="HN100" s="2"/>
      <c r="HO100" s="2"/>
      <c r="HP100" s="2"/>
      <c r="HQ100" s="2"/>
      <c r="HR100" s="2"/>
      <c r="HS100" s="2"/>
      <c r="HT100" s="2"/>
      <c r="HU100" s="2"/>
      <c r="HV100" s="2"/>
      <c r="HW100" s="2"/>
      <c r="HX100" s="2"/>
      <c r="HY100" s="2"/>
      <c r="HZ100" s="2"/>
      <c r="IA100" s="2"/>
      <c r="IB100" s="2"/>
      <c r="IC100" s="2"/>
      <c r="ID100" s="2"/>
      <c r="IE100" s="2"/>
      <c r="IF100" s="2"/>
      <c r="II100" s="2"/>
      <c r="IJ100" s="3"/>
      <c r="IK100" s="3"/>
      <c r="IL100" s="3"/>
      <c r="IM100" s="2"/>
      <c r="IN100" s="2"/>
      <c r="IO100" s="2"/>
      <c r="IP100" s="2"/>
      <c r="IQ100" s="2"/>
      <c r="IR100" s="2"/>
      <c r="IS100" s="2"/>
      <c r="IT100" s="2"/>
      <c r="IU100" s="2"/>
      <c r="IV100" s="2"/>
    </row>
    <row r="101" spans="1:256">
      <c r="A101" s="2"/>
      <c r="B101" s="2"/>
      <c r="C101" s="2"/>
      <c r="D101" s="2"/>
      <c r="E101" s="2"/>
      <c r="F101" s="2"/>
      <c r="G101" s="2"/>
      <c r="H101" s="2"/>
      <c r="I101" s="2"/>
      <c r="J101" s="2"/>
      <c r="K101" s="2"/>
      <c r="L101" s="2"/>
      <c r="M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c r="GQ101" s="2"/>
      <c r="GR101" s="2"/>
      <c r="GS101" s="2"/>
      <c r="GT101" s="2"/>
      <c r="GU101" s="2"/>
      <c r="GV101" s="2"/>
      <c r="GW101" s="2"/>
      <c r="GX101" s="2"/>
      <c r="GY101" s="2"/>
      <c r="GZ101" s="2"/>
      <c r="HA101" s="2"/>
      <c r="HB101" s="2"/>
      <c r="HC101" s="2"/>
      <c r="HD101" s="2"/>
      <c r="HE101" s="2"/>
      <c r="HF101" s="2"/>
      <c r="HG101" s="2"/>
      <c r="HH101" s="2"/>
      <c r="HI101" s="2"/>
      <c r="HJ101" s="2"/>
      <c r="HK101" s="2"/>
      <c r="HL101" s="2"/>
      <c r="HM101" s="2"/>
      <c r="HN101" s="2"/>
      <c r="HO101" s="2"/>
      <c r="HP101" s="2"/>
      <c r="HQ101" s="2"/>
      <c r="HR101" s="2"/>
      <c r="HS101" s="2"/>
      <c r="HT101" s="2"/>
      <c r="HU101" s="2"/>
      <c r="HV101" s="2"/>
      <c r="HW101" s="2"/>
      <c r="HX101" s="2"/>
      <c r="HY101" s="2"/>
      <c r="HZ101" s="2"/>
      <c r="IA101" s="2"/>
      <c r="IB101" s="2"/>
      <c r="IC101" s="2"/>
      <c r="ID101" s="2"/>
      <c r="IE101" s="2"/>
      <c r="IF101" s="2"/>
      <c r="II101" s="2"/>
      <c r="IJ101" s="3"/>
      <c r="IK101" s="3"/>
      <c r="IL101" s="3"/>
      <c r="IM101" s="2"/>
      <c r="IN101" s="2"/>
      <c r="IO101" s="2"/>
      <c r="IP101" s="2"/>
      <c r="IQ101" s="2"/>
      <c r="IR101" s="2"/>
      <c r="IS101" s="2"/>
      <c r="IT101" s="2"/>
      <c r="IU101" s="2"/>
      <c r="IV101" s="2"/>
    </row>
    <row r="102" spans="1:256">
      <c r="A102" s="2"/>
      <c r="B102" s="2"/>
      <c r="C102" s="2"/>
      <c r="D102" s="2"/>
      <c r="E102" s="2"/>
      <c r="F102" s="2"/>
      <c r="G102" s="2"/>
      <c r="H102" s="2"/>
      <c r="I102" s="2"/>
      <c r="J102" s="2"/>
      <c r="K102" s="2"/>
      <c r="L102" s="2"/>
      <c r="M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c r="GQ102" s="2"/>
      <c r="GR102" s="2"/>
      <c r="GS102" s="2"/>
      <c r="GT102" s="2"/>
      <c r="GU102" s="2"/>
      <c r="GV102" s="2"/>
      <c r="GW102" s="2"/>
      <c r="GX102" s="2"/>
      <c r="GY102" s="2"/>
      <c r="GZ102" s="2"/>
      <c r="HA102" s="2"/>
      <c r="HB102" s="2"/>
      <c r="HC102" s="2"/>
      <c r="HD102" s="2"/>
      <c r="HE102" s="2"/>
      <c r="HF102" s="2"/>
      <c r="HG102" s="2"/>
      <c r="HH102" s="2"/>
      <c r="HI102" s="2"/>
      <c r="HJ102" s="2"/>
      <c r="HK102" s="2"/>
      <c r="HL102" s="2"/>
      <c r="HM102" s="2"/>
      <c r="HN102" s="2"/>
      <c r="HO102" s="2"/>
      <c r="HP102" s="2"/>
      <c r="HQ102" s="2"/>
      <c r="HR102" s="2"/>
      <c r="HS102" s="2"/>
      <c r="HT102" s="2"/>
      <c r="HU102" s="2"/>
      <c r="HV102" s="2"/>
      <c r="HW102" s="2"/>
      <c r="HX102" s="2"/>
      <c r="HY102" s="2"/>
      <c r="HZ102" s="2"/>
      <c r="IA102" s="2"/>
      <c r="IB102" s="2"/>
      <c r="IC102" s="2"/>
      <c r="ID102" s="2"/>
      <c r="IE102" s="2"/>
      <c r="IF102" s="2"/>
      <c r="II102" s="2"/>
      <c r="IJ102" s="3"/>
      <c r="IK102" s="3"/>
      <c r="IL102" s="3"/>
      <c r="IM102" s="2"/>
      <c r="IN102" s="2"/>
      <c r="IO102" s="2"/>
      <c r="IP102" s="2"/>
      <c r="IQ102" s="2"/>
      <c r="IR102" s="2"/>
      <c r="IS102" s="2"/>
      <c r="IT102" s="2"/>
      <c r="IU102" s="2"/>
      <c r="IV102" s="2"/>
    </row>
    <row r="103" spans="1:256">
      <c r="A103" s="2"/>
      <c r="B103" s="2"/>
      <c r="C103" s="2"/>
      <c r="D103" s="2"/>
      <c r="E103" s="2"/>
      <c r="F103" s="2"/>
      <c r="G103" s="2"/>
      <c r="H103" s="2"/>
      <c r="I103" s="2"/>
      <c r="J103" s="2"/>
      <c r="K103" s="2"/>
      <c r="L103" s="2"/>
      <c r="M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c r="GQ103" s="2"/>
      <c r="GR103" s="2"/>
      <c r="GS103" s="2"/>
      <c r="GT103" s="2"/>
      <c r="GU103" s="2"/>
      <c r="GV103" s="2"/>
      <c r="GW103" s="2"/>
      <c r="GX103" s="2"/>
      <c r="GY103" s="2"/>
      <c r="GZ103" s="2"/>
      <c r="HA103" s="2"/>
      <c r="HB103" s="2"/>
      <c r="HC103" s="2"/>
      <c r="HD103" s="2"/>
      <c r="HE103" s="2"/>
      <c r="HF103" s="2"/>
      <c r="HG103" s="2"/>
      <c r="HH103" s="2"/>
      <c r="HI103" s="2"/>
      <c r="HJ103" s="2"/>
      <c r="HK103" s="2"/>
      <c r="HL103" s="2"/>
      <c r="HM103" s="2"/>
      <c r="HN103" s="2"/>
      <c r="HO103" s="2"/>
      <c r="HP103" s="2"/>
      <c r="HQ103" s="2"/>
      <c r="HR103" s="2"/>
      <c r="HS103" s="2"/>
      <c r="HT103" s="2"/>
      <c r="HU103" s="2"/>
      <c r="HV103" s="2"/>
      <c r="HW103" s="2"/>
      <c r="HX103" s="2"/>
      <c r="HY103" s="2"/>
      <c r="HZ103" s="2"/>
      <c r="IA103" s="2"/>
      <c r="IB103" s="2"/>
      <c r="IC103" s="2"/>
      <c r="ID103" s="2"/>
      <c r="IE103" s="2"/>
      <c r="IF103" s="2"/>
      <c r="II103" s="2"/>
      <c r="IJ103" s="3"/>
      <c r="IK103" s="3"/>
      <c r="IL103" s="3"/>
      <c r="IM103" s="2"/>
      <c r="IN103" s="2"/>
      <c r="IO103" s="2"/>
      <c r="IP103" s="2"/>
      <c r="IQ103" s="2"/>
      <c r="IR103" s="2"/>
      <c r="IS103" s="2"/>
      <c r="IT103" s="2"/>
      <c r="IU103" s="2"/>
      <c r="IV103" s="2"/>
    </row>
    <row r="104" spans="1:256">
      <c r="A104" s="2"/>
      <c r="B104" s="2"/>
      <c r="C104" s="2"/>
      <c r="D104" s="2"/>
      <c r="E104" s="2"/>
      <c r="F104" s="2"/>
      <c r="G104" s="2"/>
      <c r="H104" s="2"/>
      <c r="I104" s="2"/>
      <c r="J104" s="2"/>
      <c r="K104" s="2"/>
      <c r="L104" s="2"/>
      <c r="M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c r="GQ104" s="2"/>
      <c r="GR104" s="2"/>
      <c r="GS104" s="2"/>
      <c r="GT104" s="2"/>
      <c r="GU104" s="2"/>
      <c r="GV104" s="2"/>
      <c r="GW104" s="2"/>
      <c r="GX104" s="2"/>
      <c r="GY104" s="2"/>
      <c r="GZ104" s="2"/>
      <c r="HA104" s="2"/>
      <c r="HB104" s="2"/>
      <c r="HC104" s="2"/>
      <c r="HD104" s="2"/>
      <c r="HE104" s="2"/>
      <c r="HF104" s="2"/>
      <c r="HG104" s="2"/>
      <c r="HH104" s="2"/>
      <c r="HI104" s="2"/>
      <c r="HJ104" s="2"/>
      <c r="HK104" s="2"/>
      <c r="HL104" s="2"/>
      <c r="HM104" s="2"/>
      <c r="HN104" s="2"/>
      <c r="HO104" s="2"/>
      <c r="HP104" s="2"/>
      <c r="HQ104" s="2"/>
      <c r="HR104" s="2"/>
      <c r="HS104" s="2"/>
      <c r="HT104" s="2"/>
      <c r="HU104" s="2"/>
      <c r="HV104" s="2"/>
      <c r="HW104" s="2"/>
      <c r="HX104" s="2"/>
      <c r="HY104" s="2"/>
      <c r="HZ104" s="2"/>
      <c r="IA104" s="2"/>
      <c r="IB104" s="2"/>
      <c r="IC104" s="2"/>
      <c r="ID104" s="2"/>
      <c r="IE104" s="2"/>
      <c r="IF104" s="2"/>
      <c r="II104" s="2"/>
      <c r="IJ104" s="3"/>
      <c r="IK104" s="3"/>
      <c r="IL104" s="3"/>
      <c r="IM104" s="2"/>
      <c r="IN104" s="2"/>
      <c r="IO104" s="2"/>
      <c r="IP104" s="2"/>
      <c r="IQ104" s="2"/>
      <c r="IR104" s="2"/>
      <c r="IS104" s="2"/>
      <c r="IT104" s="2"/>
      <c r="IU104" s="2"/>
      <c r="IV104" s="2"/>
    </row>
    <row r="105" spans="1:256">
      <c r="A105" s="2"/>
      <c r="B105" s="2"/>
      <c r="C105" s="2"/>
      <c r="D105" s="2"/>
      <c r="E105" s="2"/>
      <c r="F105" s="2"/>
      <c r="G105" s="2"/>
      <c r="H105" s="2"/>
      <c r="I105" s="2"/>
      <c r="J105" s="2"/>
      <c r="K105" s="2"/>
      <c r="L105" s="2"/>
      <c r="M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c r="GQ105" s="2"/>
      <c r="GR105" s="2"/>
      <c r="GS105" s="2"/>
      <c r="GT105" s="2"/>
      <c r="GU105" s="2"/>
      <c r="GV105" s="2"/>
      <c r="GW105" s="2"/>
      <c r="GX105" s="2"/>
      <c r="GY105" s="2"/>
      <c r="GZ105" s="2"/>
      <c r="HA105" s="2"/>
      <c r="HB105" s="2"/>
      <c r="HC105" s="2"/>
      <c r="HD105" s="2"/>
      <c r="HE105" s="2"/>
      <c r="HF105" s="2"/>
      <c r="HG105" s="2"/>
      <c r="HH105" s="2"/>
      <c r="HI105" s="2"/>
      <c r="HJ105" s="2"/>
      <c r="HK105" s="2"/>
      <c r="HL105" s="2"/>
      <c r="HM105" s="2"/>
      <c r="HN105" s="2"/>
      <c r="HO105" s="2"/>
      <c r="HP105" s="2"/>
      <c r="HQ105" s="2"/>
      <c r="HR105" s="2"/>
      <c r="HS105" s="2"/>
      <c r="HT105" s="2"/>
      <c r="HU105" s="2"/>
      <c r="HV105" s="2"/>
      <c r="HW105" s="2"/>
      <c r="HX105" s="2"/>
      <c r="HY105" s="2"/>
      <c r="HZ105" s="2"/>
      <c r="IA105" s="2"/>
      <c r="IB105" s="2"/>
      <c r="IC105" s="2"/>
      <c r="ID105" s="2"/>
      <c r="IE105" s="2"/>
      <c r="IF105" s="2"/>
      <c r="II105" s="2"/>
      <c r="IJ105" s="3"/>
      <c r="IK105" s="3"/>
      <c r="IL105" s="3"/>
      <c r="IM105" s="2"/>
      <c r="IN105" s="2"/>
      <c r="IO105" s="2"/>
      <c r="IP105" s="2"/>
      <c r="IQ105" s="2"/>
      <c r="IR105" s="2"/>
      <c r="IS105" s="2"/>
      <c r="IT105" s="2"/>
      <c r="IU105" s="2"/>
      <c r="IV105" s="2"/>
    </row>
    <row r="106" spans="1:256" ht="14.25" customHeight="1">
      <c r="A106" s="2"/>
      <c r="B106" s="2"/>
      <c r="C106" s="2"/>
      <c r="D106" s="2"/>
      <c r="E106" s="2"/>
      <c r="F106" s="2"/>
      <c r="G106" s="2"/>
      <c r="H106" s="2"/>
      <c r="I106" s="2"/>
      <c r="J106" s="2"/>
      <c r="K106" s="2"/>
      <c r="L106" s="2"/>
      <c r="M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c r="GQ106" s="2"/>
      <c r="GR106" s="2"/>
      <c r="GS106" s="2"/>
      <c r="GT106" s="2"/>
      <c r="GU106" s="2"/>
      <c r="GV106" s="2"/>
      <c r="GW106" s="2"/>
      <c r="GX106" s="2"/>
      <c r="GY106" s="2"/>
      <c r="GZ106" s="2"/>
      <c r="HA106" s="2"/>
      <c r="HB106" s="2"/>
      <c r="HC106" s="2"/>
      <c r="HD106" s="2"/>
      <c r="HE106" s="2"/>
      <c r="HF106" s="2"/>
      <c r="HG106" s="2"/>
      <c r="HH106" s="2"/>
      <c r="HI106" s="2"/>
      <c r="HJ106" s="2"/>
      <c r="HK106" s="2"/>
      <c r="HL106" s="2"/>
      <c r="HM106" s="2"/>
      <c r="HN106" s="2"/>
      <c r="HO106" s="2"/>
      <c r="HP106" s="2"/>
      <c r="HQ106" s="2"/>
      <c r="HR106" s="2"/>
      <c r="HS106" s="2"/>
      <c r="HT106" s="2"/>
      <c r="HU106" s="2"/>
      <c r="HV106" s="2"/>
      <c r="HW106" s="2"/>
      <c r="HX106" s="2"/>
      <c r="HY106" s="2"/>
      <c r="HZ106" s="2"/>
      <c r="IA106" s="2"/>
      <c r="IB106" s="2"/>
      <c r="IC106" s="2"/>
      <c r="ID106" s="2"/>
      <c r="IE106" s="2"/>
      <c r="IF106" s="2"/>
      <c r="II106" s="2"/>
      <c r="IJ106" s="3"/>
      <c r="IK106" s="3"/>
      <c r="IL106" s="3"/>
      <c r="IM106" s="2"/>
      <c r="IN106" s="2"/>
      <c r="IO106" s="2"/>
      <c r="IP106" s="2"/>
      <c r="IQ106" s="2"/>
      <c r="IR106" s="2"/>
      <c r="IS106" s="2"/>
      <c r="IT106" s="2"/>
      <c r="IU106" s="2"/>
      <c r="IV106" s="2"/>
    </row>
    <row r="107" spans="1:256" ht="13.5" customHeight="1">
      <c r="A107" s="2"/>
      <c r="B107" s="2"/>
      <c r="C107" s="2"/>
      <c r="D107" s="2"/>
      <c r="E107" s="2"/>
      <c r="F107" s="2"/>
      <c r="G107" s="2"/>
      <c r="H107" s="2"/>
      <c r="I107" s="2"/>
      <c r="J107" s="2"/>
      <c r="K107" s="2"/>
      <c r="L107" s="2"/>
      <c r="M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c r="GQ107" s="2"/>
      <c r="GR107" s="2"/>
      <c r="GS107" s="2"/>
      <c r="GT107" s="2"/>
      <c r="GU107" s="2"/>
      <c r="GV107" s="2"/>
      <c r="GW107" s="2"/>
      <c r="GX107" s="2"/>
      <c r="GY107" s="2"/>
      <c r="GZ107" s="2"/>
      <c r="HA107" s="2"/>
      <c r="HB107" s="2"/>
      <c r="HC107" s="2"/>
      <c r="HD107" s="2"/>
      <c r="HE107" s="2"/>
      <c r="HF107" s="2"/>
      <c r="HG107" s="2"/>
      <c r="HH107" s="2"/>
      <c r="HI107" s="2"/>
      <c r="HJ107" s="2"/>
      <c r="HK107" s="2"/>
      <c r="HL107" s="2"/>
      <c r="HM107" s="2"/>
      <c r="HN107" s="2"/>
      <c r="HO107" s="2"/>
      <c r="HP107" s="2"/>
      <c r="HQ107" s="2"/>
      <c r="HR107" s="2"/>
      <c r="HS107" s="2"/>
      <c r="HT107" s="2"/>
      <c r="HU107" s="2"/>
      <c r="HV107" s="2"/>
      <c r="HW107" s="2"/>
      <c r="HX107" s="2"/>
      <c r="HY107" s="2"/>
      <c r="HZ107" s="2"/>
      <c r="IA107" s="2"/>
      <c r="IB107" s="2"/>
      <c r="IC107" s="2"/>
      <c r="ID107" s="2"/>
      <c r="IE107" s="2"/>
      <c r="IF107" s="2"/>
      <c r="II107" s="2"/>
      <c r="IJ107" s="3"/>
      <c r="IK107" s="3"/>
      <c r="IL107" s="3"/>
      <c r="IM107" s="2"/>
      <c r="IN107" s="2"/>
      <c r="IO107" s="2"/>
      <c r="IP107" s="2"/>
      <c r="IQ107" s="2"/>
      <c r="IR107" s="2"/>
      <c r="IS107" s="2"/>
      <c r="IT107" s="2"/>
      <c r="IU107" s="2"/>
      <c r="IV107" s="2"/>
    </row>
    <row r="108" spans="1:256" ht="13.5" customHeight="1">
      <c r="A108" s="2"/>
      <c r="B108" s="2"/>
      <c r="C108" s="2"/>
      <c r="D108" s="2"/>
      <c r="E108" s="2"/>
      <c r="F108" s="2"/>
      <c r="G108" s="2"/>
      <c r="H108" s="2"/>
      <c r="I108" s="2"/>
      <c r="J108" s="2"/>
      <c r="K108" s="2"/>
      <c r="L108" s="2"/>
      <c r="M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c r="GQ108" s="2"/>
      <c r="GR108" s="2"/>
      <c r="GS108" s="2"/>
      <c r="GT108" s="2"/>
      <c r="GU108" s="2"/>
      <c r="GV108" s="2"/>
      <c r="GW108" s="2"/>
      <c r="GX108" s="2"/>
      <c r="GY108" s="2"/>
      <c r="GZ108" s="2"/>
      <c r="HA108" s="2"/>
      <c r="HB108" s="2"/>
      <c r="HC108" s="2"/>
      <c r="HD108" s="2"/>
      <c r="HE108" s="2"/>
      <c r="HF108" s="2"/>
      <c r="HG108" s="2"/>
      <c r="HH108" s="2"/>
      <c r="HI108" s="2"/>
      <c r="HJ108" s="2"/>
      <c r="HK108" s="2"/>
      <c r="HL108" s="2"/>
      <c r="HM108" s="2"/>
      <c r="HN108" s="2"/>
      <c r="HO108" s="2"/>
      <c r="HP108" s="2"/>
      <c r="HQ108" s="2"/>
      <c r="HR108" s="2"/>
      <c r="HS108" s="2"/>
      <c r="HT108" s="2"/>
      <c r="HU108" s="2"/>
      <c r="HV108" s="2"/>
      <c r="HW108" s="2"/>
      <c r="HX108" s="2"/>
      <c r="HY108" s="2"/>
      <c r="HZ108" s="2"/>
      <c r="IA108" s="2"/>
      <c r="IB108" s="2"/>
      <c r="IC108" s="2"/>
      <c r="ID108" s="2"/>
      <c r="IE108" s="2"/>
      <c r="IF108" s="2"/>
      <c r="II108" s="2"/>
      <c r="IJ108" s="3"/>
      <c r="IK108" s="3"/>
      <c r="IL108" s="3"/>
      <c r="IM108" s="2"/>
      <c r="IN108" s="2"/>
      <c r="IO108" s="2"/>
      <c r="IP108" s="2"/>
      <c r="IQ108" s="2"/>
      <c r="IR108" s="2"/>
      <c r="IS108" s="2"/>
      <c r="IT108" s="2"/>
      <c r="IU108" s="2"/>
      <c r="IV108" s="2"/>
    </row>
    <row r="109" spans="1:256">
      <c r="A109" s="2"/>
      <c r="B109" s="2"/>
      <c r="C109" s="2"/>
      <c r="D109" s="2"/>
      <c r="E109" s="2"/>
      <c r="F109" s="2"/>
      <c r="G109" s="2"/>
      <c r="H109" s="2"/>
      <c r="I109" s="2"/>
      <c r="J109" s="2"/>
      <c r="K109" s="2"/>
      <c r="L109" s="2"/>
      <c r="M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c r="GQ109" s="2"/>
      <c r="GR109" s="2"/>
      <c r="GS109" s="2"/>
      <c r="GT109" s="2"/>
      <c r="GU109" s="2"/>
      <c r="GV109" s="2"/>
      <c r="GW109" s="2"/>
      <c r="GX109" s="2"/>
      <c r="GY109" s="2"/>
      <c r="GZ109" s="2"/>
      <c r="HA109" s="2"/>
      <c r="HB109" s="2"/>
      <c r="HC109" s="2"/>
      <c r="HD109" s="2"/>
      <c r="HE109" s="2"/>
      <c r="HF109" s="2"/>
      <c r="HG109" s="2"/>
      <c r="HH109" s="2"/>
      <c r="HI109" s="2"/>
      <c r="HJ109" s="2"/>
      <c r="HK109" s="2"/>
      <c r="HL109" s="2"/>
      <c r="HM109" s="2"/>
      <c r="HN109" s="2"/>
      <c r="HO109" s="2"/>
      <c r="HP109" s="2"/>
      <c r="HQ109" s="2"/>
      <c r="HR109" s="2"/>
      <c r="HS109" s="2"/>
      <c r="HT109" s="2"/>
      <c r="HU109" s="2"/>
      <c r="HV109" s="2"/>
      <c r="HW109" s="2"/>
      <c r="HX109" s="2"/>
      <c r="HY109" s="2"/>
      <c r="HZ109" s="2"/>
      <c r="IA109" s="2"/>
      <c r="IB109" s="2"/>
      <c r="IC109" s="2"/>
      <c r="ID109" s="2"/>
      <c r="IE109" s="2"/>
      <c r="IF109" s="2"/>
      <c r="II109" s="2"/>
      <c r="IJ109" s="3"/>
      <c r="IK109" s="3"/>
      <c r="IL109" s="3"/>
      <c r="IM109" s="2"/>
      <c r="IN109" s="2"/>
      <c r="IO109" s="2"/>
      <c r="IP109" s="2"/>
      <c r="IQ109" s="2"/>
      <c r="IR109" s="2"/>
      <c r="IS109" s="2"/>
      <c r="IT109" s="2"/>
      <c r="IU109" s="2"/>
      <c r="IV109" s="2"/>
    </row>
    <row r="110" spans="1:256">
      <c r="A110" s="2"/>
      <c r="B110" s="2"/>
      <c r="C110" s="2"/>
      <c r="D110" s="2"/>
      <c r="E110" s="2"/>
      <c r="F110" s="2"/>
      <c r="G110" s="2"/>
      <c r="H110" s="2"/>
      <c r="I110" s="2"/>
      <c r="J110" s="2"/>
      <c r="K110" s="2"/>
      <c r="L110" s="2"/>
      <c r="M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c r="GQ110" s="2"/>
      <c r="GR110" s="2"/>
      <c r="GS110" s="2"/>
      <c r="GT110" s="2"/>
      <c r="GU110" s="2"/>
      <c r="GV110" s="2"/>
      <c r="GW110" s="2"/>
      <c r="GX110" s="2"/>
      <c r="GY110" s="2"/>
      <c r="GZ110" s="2"/>
      <c r="HA110" s="2"/>
      <c r="HB110" s="2"/>
      <c r="HC110" s="2"/>
      <c r="HD110" s="2"/>
      <c r="HE110" s="2"/>
      <c r="HF110" s="2"/>
      <c r="HG110" s="2"/>
      <c r="HH110" s="2"/>
      <c r="HI110" s="2"/>
      <c r="HJ110" s="2"/>
      <c r="HK110" s="2"/>
      <c r="HL110" s="2"/>
      <c r="HM110" s="2"/>
      <c r="HN110" s="2"/>
      <c r="HO110" s="2"/>
      <c r="HP110" s="2"/>
      <c r="HQ110" s="2"/>
      <c r="HR110" s="2"/>
      <c r="HS110" s="2"/>
      <c r="HT110" s="2"/>
      <c r="HU110" s="2"/>
      <c r="HV110" s="2"/>
      <c r="HW110" s="2"/>
      <c r="HX110" s="2"/>
      <c r="HY110" s="2"/>
      <c r="HZ110" s="2"/>
      <c r="IA110" s="2"/>
      <c r="IB110" s="2"/>
      <c r="IC110" s="2"/>
      <c r="ID110" s="2"/>
      <c r="IE110" s="2"/>
      <c r="IF110" s="2"/>
      <c r="II110" s="2"/>
      <c r="IJ110" s="3"/>
      <c r="IK110" s="3"/>
      <c r="IL110" s="3"/>
      <c r="IM110" s="2"/>
      <c r="IN110" s="2"/>
      <c r="IO110" s="2"/>
      <c r="IP110" s="2"/>
      <c r="IQ110" s="2"/>
      <c r="IR110" s="2"/>
      <c r="IS110" s="2"/>
      <c r="IT110" s="2"/>
      <c r="IU110" s="2"/>
      <c r="IV110" s="2"/>
    </row>
    <row r="111" spans="1:256">
      <c r="A111" s="2"/>
      <c r="B111" s="2"/>
      <c r="C111" s="2"/>
      <c r="D111" s="2"/>
      <c r="E111" s="2"/>
      <c r="F111" s="2"/>
      <c r="G111" s="2"/>
      <c r="H111" s="2"/>
      <c r="I111" s="2"/>
      <c r="J111" s="2"/>
      <c r="K111" s="2"/>
      <c r="L111" s="2"/>
      <c r="M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c r="GQ111" s="2"/>
      <c r="GR111" s="2"/>
      <c r="GS111" s="2"/>
      <c r="GT111" s="2"/>
      <c r="GU111" s="2"/>
      <c r="GV111" s="2"/>
      <c r="GW111" s="2"/>
      <c r="GX111" s="2"/>
      <c r="GY111" s="2"/>
      <c r="GZ111" s="2"/>
      <c r="HA111" s="2"/>
      <c r="HB111" s="2"/>
      <c r="HC111" s="2"/>
      <c r="HD111" s="2"/>
      <c r="HE111" s="2"/>
      <c r="HF111" s="2"/>
      <c r="HG111" s="2"/>
      <c r="HH111" s="2"/>
      <c r="HI111" s="2"/>
      <c r="HJ111" s="2"/>
      <c r="HK111" s="2"/>
      <c r="HL111" s="2"/>
      <c r="HM111" s="2"/>
      <c r="HN111" s="2"/>
      <c r="HO111" s="2"/>
      <c r="HP111" s="2"/>
      <c r="HQ111" s="2"/>
      <c r="HR111" s="2"/>
      <c r="HS111" s="2"/>
      <c r="HT111" s="2"/>
      <c r="HU111" s="2"/>
      <c r="HV111" s="2"/>
      <c r="HW111" s="2"/>
      <c r="HX111" s="2"/>
      <c r="HY111" s="2"/>
      <c r="HZ111" s="2"/>
      <c r="IA111" s="2"/>
      <c r="IB111" s="2"/>
      <c r="IC111" s="2"/>
      <c r="ID111" s="2"/>
      <c r="IE111" s="2"/>
      <c r="IF111" s="2"/>
      <c r="II111" s="2"/>
      <c r="IJ111" s="3"/>
      <c r="IK111" s="3"/>
      <c r="IL111" s="3"/>
      <c r="IM111" s="2"/>
      <c r="IN111" s="2"/>
      <c r="IO111" s="2"/>
      <c r="IP111" s="2"/>
      <c r="IQ111" s="2"/>
      <c r="IR111" s="2"/>
      <c r="IS111" s="2"/>
      <c r="IT111" s="2"/>
      <c r="IU111" s="2"/>
      <c r="IV111" s="2"/>
    </row>
    <row r="112" spans="1:256">
      <c r="A112" s="2"/>
      <c r="B112" s="2"/>
      <c r="C112" s="2"/>
      <c r="D112" s="2"/>
      <c r="E112" s="2"/>
      <c r="F112" s="2"/>
      <c r="G112" s="2"/>
      <c r="H112" s="2"/>
      <c r="I112" s="2"/>
      <c r="J112" s="2"/>
      <c r="K112" s="2"/>
      <c r="L112" s="2"/>
      <c r="M112" s="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c r="GQ112" s="2"/>
      <c r="GR112" s="2"/>
      <c r="GS112" s="2"/>
      <c r="GT112" s="2"/>
      <c r="GU112" s="2"/>
      <c r="GV112" s="2"/>
      <c r="GW112" s="2"/>
      <c r="GX112" s="2"/>
      <c r="GY112" s="2"/>
      <c r="GZ112" s="2"/>
      <c r="HA112" s="2"/>
      <c r="HB112" s="2"/>
      <c r="HC112" s="2"/>
      <c r="HD112" s="2"/>
      <c r="HE112" s="2"/>
      <c r="HF112" s="2"/>
      <c r="HG112" s="2"/>
      <c r="HH112" s="2"/>
      <c r="HI112" s="2"/>
      <c r="HJ112" s="2"/>
      <c r="HK112" s="2"/>
      <c r="HL112" s="2"/>
      <c r="HM112" s="2"/>
      <c r="HN112" s="2"/>
      <c r="HO112" s="2"/>
      <c r="HP112" s="2"/>
      <c r="HQ112" s="2"/>
      <c r="HR112" s="2"/>
      <c r="HS112" s="2"/>
      <c r="HT112" s="2"/>
      <c r="HU112" s="2"/>
      <c r="HV112" s="2"/>
      <c r="HW112" s="2"/>
      <c r="HX112" s="2"/>
      <c r="HY112" s="2"/>
      <c r="HZ112" s="2"/>
      <c r="IA112" s="2"/>
      <c r="IB112" s="2"/>
      <c r="IC112" s="2"/>
      <c r="ID112" s="2"/>
      <c r="IE112" s="2"/>
      <c r="IF112" s="2"/>
      <c r="II112" s="2"/>
      <c r="IJ112" s="3"/>
      <c r="IK112" s="3"/>
      <c r="IL112" s="3"/>
      <c r="IM112" s="2"/>
      <c r="IN112" s="2"/>
      <c r="IO112" s="2"/>
      <c r="IP112" s="2"/>
      <c r="IQ112" s="2"/>
      <c r="IR112" s="2"/>
      <c r="IS112" s="2"/>
      <c r="IT112" s="2"/>
      <c r="IU112" s="2"/>
      <c r="IV112" s="2"/>
    </row>
    <row r="113" spans="1:256">
      <c r="A113" s="2"/>
      <c r="B113" s="2"/>
      <c r="C113" s="2"/>
      <c r="D113" s="2"/>
      <c r="E113" s="2"/>
      <c r="F113" s="2"/>
      <c r="G113" s="2"/>
      <c r="H113" s="2"/>
      <c r="I113" s="2"/>
      <c r="J113" s="2"/>
      <c r="K113" s="2"/>
      <c r="L113" s="2"/>
      <c r="M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c r="GQ113" s="2"/>
      <c r="GR113" s="2"/>
      <c r="GS113" s="2"/>
      <c r="GT113" s="2"/>
      <c r="GU113" s="2"/>
      <c r="GV113" s="2"/>
      <c r="GW113" s="2"/>
      <c r="GX113" s="2"/>
      <c r="GY113" s="2"/>
      <c r="GZ113" s="2"/>
      <c r="HA113" s="2"/>
      <c r="HB113" s="2"/>
      <c r="HC113" s="2"/>
      <c r="HD113" s="2"/>
      <c r="HE113" s="2"/>
      <c r="HF113" s="2"/>
      <c r="HG113" s="2"/>
      <c r="HH113" s="2"/>
      <c r="HI113" s="2"/>
      <c r="HJ113" s="2"/>
      <c r="HK113" s="2"/>
      <c r="HL113" s="2"/>
      <c r="HM113" s="2"/>
      <c r="HN113" s="2"/>
      <c r="HO113" s="2"/>
      <c r="HP113" s="2"/>
      <c r="HQ113" s="2"/>
      <c r="HR113" s="2"/>
      <c r="HS113" s="2"/>
      <c r="HT113" s="2"/>
      <c r="HU113" s="2"/>
      <c r="HV113" s="2"/>
      <c r="HW113" s="2"/>
      <c r="HX113" s="2"/>
      <c r="HY113" s="2"/>
      <c r="HZ113" s="2"/>
      <c r="IA113" s="2"/>
      <c r="IB113" s="2"/>
      <c r="IC113" s="2"/>
      <c r="ID113" s="2"/>
      <c r="IE113" s="2"/>
      <c r="IF113" s="2"/>
      <c r="II113" s="2"/>
      <c r="IJ113" s="3"/>
      <c r="IK113" s="3"/>
      <c r="IL113" s="3"/>
      <c r="IM113" s="2"/>
      <c r="IN113" s="2"/>
      <c r="IO113" s="2"/>
      <c r="IP113" s="2"/>
      <c r="IQ113" s="2"/>
      <c r="IR113" s="2"/>
      <c r="IS113" s="2"/>
      <c r="IT113" s="2"/>
      <c r="IU113" s="2"/>
      <c r="IV113" s="2"/>
    </row>
  </sheetData>
  <sheetProtection password="C39E" sheet="1" objects="1" scenarios="1"/>
  <customSheetViews>
    <customSheetView guid="{DB365FA4-8D94-49CF-B333-8C6A4783853B}" showRuler="0">
      <selection activeCell="G11" sqref="G11"/>
      <pageMargins left="0.75" right="0.75" top="1" bottom="1" header="0.5" footer="0.5"/>
      <pageSetup orientation="portrait" horizontalDpi="300" verticalDpi="300" r:id="rId1"/>
      <headerFooter alignWithMargins="0"/>
    </customSheetView>
    <customSheetView guid="{9711F06F-B5CC-4033-8AB3-0E7E6F635E5F}" showRuler="0">
      <selection activeCell="G11" sqref="G11"/>
      <pageMargins left="0.75" right="0.75" top="1" bottom="1" header="0.5" footer="0.5"/>
      <pageSetup orientation="portrait" horizontalDpi="300" verticalDpi="300" r:id="rId2"/>
      <headerFooter alignWithMargins="0"/>
    </customSheetView>
    <customSheetView guid="{2FCC383C-10EF-41F0-858D-505CF08BB01B}" showRuler="0">
      <selection activeCell="G11" sqref="G11"/>
      <pageMargins left="0.75" right="0.75" top="1" bottom="1" header="0.5" footer="0.5"/>
      <pageSetup orientation="portrait" horizontalDpi="300" verticalDpi="300" r:id="rId3"/>
      <headerFooter alignWithMargins="0"/>
    </customSheetView>
    <customSheetView guid="{82DFEA4E-A735-471A-8B59-472DB22D5406}" showRuler="0">
      <selection activeCell="G11" sqref="G11"/>
      <pageMargins left="0.75" right="0.75" top="1" bottom="1" header="0.5" footer="0.5"/>
      <pageSetup orientation="portrait" horizontalDpi="300" verticalDpi="300" r:id="rId4"/>
      <headerFooter alignWithMargins="0"/>
    </customSheetView>
    <customSheetView guid="{53803D8B-0A9B-4271-B690-B5F9FC4E36BE}" showRuler="0">
      <selection activeCell="G11" sqref="G11"/>
      <pageMargins left="0.75" right="0.75" top="1" bottom="1" header="0.5" footer="0.5"/>
      <pageSetup orientation="portrait" horizontalDpi="300" verticalDpi="300" r:id="rId5"/>
      <headerFooter alignWithMargins="0"/>
    </customSheetView>
  </customSheetViews>
  <mergeCells count="28">
    <mergeCell ref="E68:G68"/>
    <mergeCell ref="B75:G75"/>
    <mergeCell ref="B76:G76"/>
    <mergeCell ref="C78:K78"/>
    <mergeCell ref="B53:G53"/>
    <mergeCell ref="C55:K55"/>
    <mergeCell ref="E60:I60"/>
    <mergeCell ref="B62:E62"/>
    <mergeCell ref="B63:B64"/>
    <mergeCell ref="E65:G65"/>
    <mergeCell ref="B52:G52"/>
    <mergeCell ref="E21:G21"/>
    <mergeCell ref="J21:K21"/>
    <mergeCell ref="F22:G22"/>
    <mergeCell ref="E24:G24"/>
    <mergeCell ref="J24:K24"/>
    <mergeCell ref="F25:G25"/>
    <mergeCell ref="D37:I37"/>
    <mergeCell ref="B39:E39"/>
    <mergeCell ref="B40:B41"/>
    <mergeCell ref="E42:G42"/>
    <mergeCell ref="E45:G45"/>
    <mergeCell ref="B19:B20"/>
    <mergeCell ref="C2:K2"/>
    <mergeCell ref="C4:K4"/>
    <mergeCell ref="B6:L6"/>
    <mergeCell ref="B11:C11"/>
    <mergeCell ref="E13:E14"/>
  </mergeCells>
  <phoneticPr fontId="17" type="noConversion"/>
  <dataValidations count="1">
    <dataValidation type="custom" allowBlank="1" showInputMessage="1" showErrorMessage="1" error="You have selected a three phase feeder,_x000a__x000a_Check above for selected Voltage &amp; Phase " promptTitle="single phase feeder" sqref="W54 W77" xr:uid="{00000000-0002-0000-0000-000000000000}">
      <formula1>IF(W53=TRUE,TRUE,FALSE)</formula1>
    </dataValidation>
  </dataValidations>
  <pageMargins left="0.75" right="0.75" top="1" bottom="1" header="0.5" footer="0.5"/>
  <pageSetup orientation="portrait" horizontalDpi="300" verticalDpi="300" r:id="rId6"/>
  <headerFooter alignWithMargins="0"/>
  <drawing r:id="rId7"/>
  <legacyDrawing r:id="rId8"/>
  <mc:AlternateContent xmlns:mc="http://schemas.openxmlformats.org/markup-compatibility/2006">
    <mc:Choice Requires="x14">
      <controls>
        <mc:AlternateContent xmlns:mc="http://schemas.openxmlformats.org/markup-compatibility/2006">
          <mc:Choice Requires="x14">
            <control shapeId="1025" r:id="rId9" name="Drop Down 1">
              <controlPr locked="0" defaultSize="0" autoFill="0" autoLine="0" autoPict="0">
                <anchor moveWithCells="1">
                  <from>
                    <xdr:col>10</xdr:col>
                    <xdr:colOff>542925</xdr:colOff>
                    <xdr:row>19</xdr:row>
                    <xdr:rowOff>142875</xdr:rowOff>
                  </from>
                  <to>
                    <xdr:col>11</xdr:col>
                    <xdr:colOff>666750</xdr:colOff>
                    <xdr:row>21</xdr:row>
                    <xdr:rowOff>0</xdr:rowOff>
                  </to>
                </anchor>
              </controlPr>
            </control>
          </mc:Choice>
        </mc:AlternateContent>
        <mc:AlternateContent xmlns:mc="http://schemas.openxmlformats.org/markup-compatibility/2006">
          <mc:Choice Requires="x14">
            <control shapeId="1026" r:id="rId10" name="Drop Down 2">
              <controlPr locked="0" defaultSize="0" autoFill="0" autoLine="0" autoPict="0">
                <anchor moveWithCells="1">
                  <from>
                    <xdr:col>10</xdr:col>
                    <xdr:colOff>561975</xdr:colOff>
                    <xdr:row>40</xdr:row>
                    <xdr:rowOff>161925</xdr:rowOff>
                  </from>
                  <to>
                    <xdr:col>11</xdr:col>
                    <xdr:colOff>666750</xdr:colOff>
                    <xdr:row>42</xdr:row>
                    <xdr:rowOff>19050</xdr:rowOff>
                  </to>
                </anchor>
              </controlPr>
            </control>
          </mc:Choice>
        </mc:AlternateContent>
        <mc:AlternateContent xmlns:mc="http://schemas.openxmlformats.org/markup-compatibility/2006">
          <mc:Choice Requires="x14">
            <control shapeId="1027" r:id="rId11" name="Drop Down 3">
              <controlPr locked="0" defaultSize="0" autoFill="0" autoLine="0" autoPict="0">
                <anchor moveWithCells="1">
                  <from>
                    <xdr:col>9</xdr:col>
                    <xdr:colOff>76200</xdr:colOff>
                    <xdr:row>16</xdr:row>
                    <xdr:rowOff>161925</xdr:rowOff>
                  </from>
                  <to>
                    <xdr:col>11</xdr:col>
                    <xdr:colOff>657225</xdr:colOff>
                    <xdr:row>18</xdr:row>
                    <xdr:rowOff>19050</xdr:rowOff>
                  </to>
                </anchor>
              </controlPr>
            </control>
          </mc:Choice>
        </mc:AlternateContent>
        <mc:AlternateContent xmlns:mc="http://schemas.openxmlformats.org/markup-compatibility/2006">
          <mc:Choice Requires="x14">
            <control shapeId="1028" r:id="rId12" name="Drop Down 4">
              <controlPr locked="0" defaultSize="0" autoFill="0" autoLine="0" autoPict="0">
                <anchor moveWithCells="1">
                  <from>
                    <xdr:col>9</xdr:col>
                    <xdr:colOff>85725</xdr:colOff>
                    <xdr:row>35</xdr:row>
                    <xdr:rowOff>152400</xdr:rowOff>
                  </from>
                  <to>
                    <xdr:col>11</xdr:col>
                    <xdr:colOff>666750</xdr:colOff>
                    <xdr:row>37</xdr:row>
                    <xdr:rowOff>9525</xdr:rowOff>
                  </to>
                </anchor>
              </controlPr>
            </control>
          </mc:Choice>
        </mc:AlternateContent>
        <mc:AlternateContent xmlns:mc="http://schemas.openxmlformats.org/markup-compatibility/2006">
          <mc:Choice Requires="x14">
            <control shapeId="1033" r:id="rId13" name="Drop Down 9">
              <controlPr locked="0" defaultSize="0" autoFill="0" autoLine="0" autoPict="0">
                <anchor moveWithCells="1">
                  <from>
                    <xdr:col>9</xdr:col>
                    <xdr:colOff>76200</xdr:colOff>
                    <xdr:row>15</xdr:row>
                    <xdr:rowOff>95250</xdr:rowOff>
                  </from>
                  <to>
                    <xdr:col>11</xdr:col>
                    <xdr:colOff>657225</xdr:colOff>
                    <xdr:row>16</xdr:row>
                    <xdr:rowOff>123825</xdr:rowOff>
                  </to>
                </anchor>
              </controlPr>
            </control>
          </mc:Choice>
        </mc:AlternateContent>
        <mc:AlternateContent xmlns:mc="http://schemas.openxmlformats.org/markup-compatibility/2006">
          <mc:Choice Requires="x14">
            <control shapeId="1034" r:id="rId14" name="Drop Down 10">
              <controlPr locked="0" defaultSize="0" autoFill="0" autoLine="0" autoPict="0">
                <anchor moveWithCells="1">
                  <from>
                    <xdr:col>10</xdr:col>
                    <xdr:colOff>542925</xdr:colOff>
                    <xdr:row>22</xdr:row>
                    <xdr:rowOff>161925</xdr:rowOff>
                  </from>
                  <to>
                    <xdr:col>11</xdr:col>
                    <xdr:colOff>666750</xdr:colOff>
                    <xdr:row>24</xdr:row>
                    <xdr:rowOff>19050</xdr:rowOff>
                  </to>
                </anchor>
              </controlPr>
            </control>
          </mc:Choice>
        </mc:AlternateContent>
        <mc:AlternateContent xmlns:mc="http://schemas.openxmlformats.org/markup-compatibility/2006">
          <mc:Choice Requires="x14">
            <control shapeId="1035" r:id="rId15" name="Drop Down 11">
              <controlPr locked="0" defaultSize="0" autoFill="0" autoLine="0" autoPict="0">
                <anchor moveWithCells="1">
                  <from>
                    <xdr:col>10</xdr:col>
                    <xdr:colOff>561975</xdr:colOff>
                    <xdr:row>43</xdr:row>
                    <xdr:rowOff>142875</xdr:rowOff>
                  </from>
                  <to>
                    <xdr:col>11</xdr:col>
                    <xdr:colOff>666750</xdr:colOff>
                    <xdr:row>45</xdr:row>
                    <xdr:rowOff>0</xdr:rowOff>
                  </to>
                </anchor>
              </controlPr>
            </control>
          </mc:Choice>
        </mc:AlternateContent>
        <mc:AlternateContent xmlns:mc="http://schemas.openxmlformats.org/markup-compatibility/2006">
          <mc:Choice Requires="x14">
            <control shapeId="1038" r:id="rId16" name="Drop Down 14">
              <controlPr locked="0" defaultSize="0" autoFill="0" autoLine="0" autoPict="0">
                <anchor moveWithCells="1">
                  <from>
                    <xdr:col>10</xdr:col>
                    <xdr:colOff>390525</xdr:colOff>
                    <xdr:row>37</xdr:row>
                    <xdr:rowOff>19050</xdr:rowOff>
                  </from>
                  <to>
                    <xdr:col>11</xdr:col>
                    <xdr:colOff>666750</xdr:colOff>
                    <xdr:row>38</xdr:row>
                    <xdr:rowOff>47625</xdr:rowOff>
                  </to>
                </anchor>
              </controlPr>
            </control>
          </mc:Choice>
        </mc:AlternateContent>
        <mc:AlternateContent xmlns:mc="http://schemas.openxmlformats.org/markup-compatibility/2006">
          <mc:Choice Requires="x14">
            <control shapeId="1039" r:id="rId17" name="Drop Down 15">
              <controlPr locked="0" defaultSize="0" autoFill="0" autoLine="0" autoPict="0">
                <anchor moveWithCells="1">
                  <from>
                    <xdr:col>10</xdr:col>
                    <xdr:colOff>561975</xdr:colOff>
                    <xdr:row>63</xdr:row>
                    <xdr:rowOff>161925</xdr:rowOff>
                  </from>
                  <to>
                    <xdr:col>11</xdr:col>
                    <xdr:colOff>676275</xdr:colOff>
                    <xdr:row>65</xdr:row>
                    <xdr:rowOff>9525</xdr:rowOff>
                  </to>
                </anchor>
              </controlPr>
            </control>
          </mc:Choice>
        </mc:AlternateContent>
        <mc:AlternateContent xmlns:mc="http://schemas.openxmlformats.org/markup-compatibility/2006">
          <mc:Choice Requires="x14">
            <control shapeId="1040" r:id="rId18" name="Drop Down 16">
              <controlPr locked="0" defaultSize="0" autoFill="0" autoLine="0" autoPict="0">
                <anchor moveWithCells="1">
                  <from>
                    <xdr:col>9</xdr:col>
                    <xdr:colOff>85725</xdr:colOff>
                    <xdr:row>58</xdr:row>
                    <xdr:rowOff>152400</xdr:rowOff>
                  </from>
                  <to>
                    <xdr:col>11</xdr:col>
                    <xdr:colOff>676275</xdr:colOff>
                    <xdr:row>59</xdr:row>
                    <xdr:rowOff>171450</xdr:rowOff>
                  </to>
                </anchor>
              </controlPr>
            </control>
          </mc:Choice>
        </mc:AlternateContent>
        <mc:AlternateContent xmlns:mc="http://schemas.openxmlformats.org/markup-compatibility/2006">
          <mc:Choice Requires="x14">
            <control shapeId="1043" r:id="rId19" name="Drop Down 19">
              <controlPr locked="0" defaultSize="0" autoFill="0" autoLine="0" autoPict="0">
                <anchor moveWithCells="1">
                  <from>
                    <xdr:col>10</xdr:col>
                    <xdr:colOff>561975</xdr:colOff>
                    <xdr:row>66</xdr:row>
                    <xdr:rowOff>142875</xdr:rowOff>
                  </from>
                  <to>
                    <xdr:col>11</xdr:col>
                    <xdr:colOff>676275</xdr:colOff>
                    <xdr:row>67</xdr:row>
                    <xdr:rowOff>171450</xdr:rowOff>
                  </to>
                </anchor>
              </controlPr>
            </control>
          </mc:Choice>
        </mc:AlternateContent>
        <mc:AlternateContent xmlns:mc="http://schemas.openxmlformats.org/markup-compatibility/2006">
          <mc:Choice Requires="x14">
            <control shapeId="1045" r:id="rId20" name="Drop Down 21">
              <controlPr locked="0" defaultSize="0" autoFill="0" autoLine="0" autoPict="0">
                <anchor moveWithCells="1">
                  <from>
                    <xdr:col>10</xdr:col>
                    <xdr:colOff>390525</xdr:colOff>
                    <xdr:row>60</xdr:row>
                    <xdr:rowOff>85725</xdr:rowOff>
                  </from>
                  <to>
                    <xdr:col>11</xdr:col>
                    <xdr:colOff>676275</xdr:colOff>
                    <xdr:row>61</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13"/>
  <sheetViews>
    <sheetView tabSelected="1" showRuler="0" zoomScale="85" zoomScaleNormal="85" workbookViewId="0">
      <selection activeCell="I13" sqref="I13"/>
    </sheetView>
  </sheetViews>
  <sheetFormatPr defaultColWidth="0" defaultRowHeight="12.75" zeroHeight="1"/>
  <cols>
    <col min="1" max="1" width="2.85546875" customWidth="1"/>
    <col min="2" max="2" width="9.85546875" customWidth="1"/>
    <col min="3" max="3" width="9.5703125" customWidth="1"/>
    <col min="4" max="4" width="4.85546875" customWidth="1"/>
    <col min="5" max="5" width="7.85546875" customWidth="1"/>
    <col min="6" max="8" width="9.140625" customWidth="1"/>
    <col min="9" max="9" width="9.28515625" customWidth="1"/>
    <col min="10" max="11" width="9.140625" customWidth="1"/>
    <col min="12" max="12" width="11.42578125" customWidth="1"/>
    <col min="13" max="13" width="2.140625" customWidth="1"/>
    <col min="14" max="14" width="1.7109375" hidden="1" customWidth="1"/>
    <col min="15" max="15" width="3" hidden="1" customWidth="1"/>
    <col min="16" max="16" width="9.7109375" hidden="1" customWidth="1"/>
    <col min="17" max="17" width="8" hidden="1" customWidth="1"/>
    <col min="18" max="18" width="8.28515625" hidden="1" customWidth="1"/>
    <col min="19" max="19" width="7.28515625" hidden="1" customWidth="1"/>
    <col min="20" max="20" width="9.140625" hidden="1" customWidth="1"/>
    <col min="21" max="21" width="3" hidden="1" customWidth="1"/>
    <col min="22" max="22" width="12.5703125" hidden="1" customWidth="1"/>
    <col min="23" max="23" width="7.42578125" hidden="1" customWidth="1"/>
    <col min="24" max="24" width="8" hidden="1" customWidth="1"/>
    <col min="25" max="25" width="9" hidden="1" customWidth="1"/>
    <col min="26" max="26" width="9.28515625" hidden="1" customWidth="1"/>
    <col min="27" max="27" width="4.42578125" hidden="1" customWidth="1"/>
    <col min="28" max="28" width="7.7109375" hidden="1" customWidth="1"/>
    <col min="29" max="29" width="15.42578125" hidden="1" customWidth="1"/>
    <col min="30" max="30" width="4.140625" hidden="1" customWidth="1"/>
    <col min="31" max="33" width="9.140625" hidden="1" customWidth="1"/>
    <col min="34" max="34" width="7.42578125" hidden="1" customWidth="1"/>
    <col min="35" max="35" width="8.140625" hidden="1" customWidth="1"/>
    <col min="36" max="36" width="9.140625" hidden="1" customWidth="1"/>
    <col min="37" max="37" width="3.5703125" hidden="1" customWidth="1"/>
    <col min="38" max="38" width="9.140625" hidden="1" customWidth="1"/>
    <col min="39" max="39" width="8.5703125" hidden="1" customWidth="1"/>
    <col min="40" max="40" width="7.5703125" hidden="1" customWidth="1"/>
    <col min="41" max="41" width="7.7109375" hidden="1" customWidth="1"/>
    <col min="42" max="42" width="9.140625" hidden="1" customWidth="1"/>
    <col min="43" max="43" width="1.85546875" hidden="1" customWidth="1"/>
    <col min="44" max="46" width="9.140625" hidden="1" customWidth="1"/>
    <col min="47" max="47" width="1.5703125" hidden="1" customWidth="1"/>
    <col min="48" max="54" width="9.140625" hidden="1" customWidth="1"/>
    <col min="55" max="55" width="1.85546875" style="177" customWidth="1"/>
    <col min="56" max="56" width="10.7109375" style="177" customWidth="1"/>
    <col min="57" max="58" width="9.140625" style="177" customWidth="1"/>
    <col min="59" max="59" width="2.5703125" style="177" customWidth="1"/>
    <col min="60" max="60" width="3.28515625" style="177" customWidth="1"/>
    <col min="61" max="61" width="2.28515625" style="177" customWidth="1"/>
    <col min="62" max="62" width="10.7109375" style="177" customWidth="1"/>
    <col min="63" max="64" width="9.140625" style="177" customWidth="1"/>
    <col min="65" max="65" width="2.7109375" style="177" customWidth="1"/>
    <col min="66" max="116" width="9.140625" hidden="1" customWidth="1"/>
    <col min="117" max="117" width="0.42578125" style="102" customWidth="1"/>
    <col min="118" max="118" width="8.7109375" style="2" customWidth="1"/>
    <col min="119" max="119" width="6.7109375" style="2" customWidth="1"/>
    <col min="120" max="138" width="9.140625" style="2" customWidth="1"/>
    <col min="139" max="156" width="9.140625" hidden="1" customWidth="1"/>
    <col min="157" max="158" width="9.140625" customWidth="1"/>
    <col min="159" max="240" width="9.140625" hidden="1" customWidth="1"/>
    <col min="241" max="242" width="9.140625" style="2" hidden="1" customWidth="1"/>
    <col min="243" max="243" width="9.140625" hidden="1" customWidth="1"/>
    <col min="244" max="246" width="9.140625" style="19" hidden="1" customWidth="1"/>
    <col min="247" max="16384" width="9.140625" hidden="1"/>
  </cols>
  <sheetData>
    <row r="1" spans="1:256" ht="6.75" customHeight="1">
      <c r="A1" s="1"/>
      <c r="B1" s="1"/>
      <c r="C1" s="1"/>
      <c r="D1" s="1"/>
      <c r="E1" s="1"/>
      <c r="F1" s="1"/>
      <c r="G1" s="1"/>
      <c r="H1" s="1"/>
      <c r="I1" s="1"/>
      <c r="J1" s="1"/>
      <c r="K1" s="1"/>
      <c r="L1" s="1"/>
      <c r="M1" s="1"/>
      <c r="AK1" s="102"/>
      <c r="AL1" s="102"/>
      <c r="AM1" s="102"/>
      <c r="AN1" s="102"/>
      <c r="AO1" s="102"/>
      <c r="AP1" s="102"/>
      <c r="AQ1" s="102"/>
      <c r="AR1" s="102"/>
      <c r="AS1" s="102"/>
      <c r="AT1" s="102"/>
      <c r="AU1" s="102"/>
      <c r="BC1" s="164"/>
      <c r="BD1" s="164"/>
      <c r="BE1" s="164"/>
      <c r="BF1" s="164"/>
      <c r="BG1" s="164"/>
      <c r="BH1" s="164"/>
      <c r="BI1" s="164"/>
      <c r="BJ1" s="164"/>
      <c r="BK1" s="164"/>
      <c r="BL1" s="164"/>
      <c r="BM1" s="164"/>
      <c r="BN1" s="10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I1" s="2"/>
      <c r="IJ1" s="3"/>
      <c r="IK1" s="3"/>
      <c r="IL1" s="3"/>
      <c r="IM1" s="2"/>
      <c r="IN1" s="2"/>
      <c r="IO1" s="2"/>
      <c r="IP1" s="2"/>
      <c r="IQ1" s="2"/>
      <c r="IR1" s="2"/>
      <c r="IS1" s="2"/>
      <c r="IT1" s="2"/>
      <c r="IU1" s="2"/>
      <c r="IV1" s="2"/>
    </row>
    <row r="2" spans="1:256" ht="14.25" customHeight="1">
      <c r="A2" s="1"/>
      <c r="B2" s="1"/>
      <c r="C2" s="247" t="s">
        <v>133</v>
      </c>
      <c r="D2" s="248"/>
      <c r="E2" s="248"/>
      <c r="F2" s="248"/>
      <c r="G2" s="251"/>
      <c r="H2" s="248"/>
      <c r="I2" s="248"/>
      <c r="J2" s="248"/>
      <c r="K2" s="250"/>
      <c r="L2" s="1"/>
      <c r="M2" s="1"/>
      <c r="AK2" s="102"/>
      <c r="AL2" s="102"/>
      <c r="AM2" s="102"/>
      <c r="AN2" s="102"/>
      <c r="AO2" s="102"/>
      <c r="AP2" s="102"/>
      <c r="AQ2" s="102"/>
      <c r="AR2" s="102"/>
      <c r="AS2" s="102"/>
      <c r="AT2" s="102"/>
      <c r="AU2" s="102"/>
      <c r="BC2" s="164"/>
      <c r="BD2" s="164"/>
      <c r="BE2" s="164"/>
      <c r="BF2" s="164"/>
      <c r="BG2" s="164"/>
      <c r="BH2" s="164"/>
      <c r="BI2" s="164"/>
      <c r="BJ2" s="164"/>
      <c r="BK2" s="164"/>
      <c r="BL2" s="164"/>
      <c r="BM2" s="164"/>
      <c r="BN2" s="10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I2" s="2"/>
      <c r="IJ2" s="3"/>
      <c r="IK2" s="3"/>
      <c r="IL2" s="3"/>
      <c r="IM2" s="2"/>
      <c r="IN2" s="2"/>
      <c r="IO2" s="2"/>
      <c r="IP2" s="2"/>
      <c r="IQ2" s="2"/>
      <c r="IR2" s="2"/>
      <c r="IS2" s="2"/>
      <c r="IT2" s="2"/>
      <c r="IU2" s="2"/>
      <c r="IV2" s="2"/>
    </row>
    <row r="3" spans="1:256" ht="5.25" customHeight="1">
      <c r="A3" s="1"/>
      <c r="B3" s="1"/>
      <c r="C3" s="4"/>
      <c r="D3" s="4"/>
      <c r="E3" s="4"/>
      <c r="F3" s="4"/>
      <c r="G3" s="4"/>
      <c r="H3" s="4"/>
      <c r="I3" s="4"/>
      <c r="J3" s="4"/>
      <c r="K3" s="4"/>
      <c r="L3" s="1"/>
      <c r="M3" s="1"/>
      <c r="AK3" s="102"/>
      <c r="AL3" s="102"/>
      <c r="AM3" s="102"/>
      <c r="AN3" s="102"/>
      <c r="AO3" s="102"/>
      <c r="AP3" s="102"/>
      <c r="AQ3" s="102"/>
      <c r="AR3" s="102"/>
      <c r="AS3" s="102"/>
      <c r="AT3" s="102"/>
      <c r="AU3" s="102"/>
      <c r="BC3" s="164"/>
      <c r="BD3" s="164"/>
      <c r="BE3" s="164"/>
      <c r="BF3" s="164"/>
      <c r="BG3" s="164"/>
      <c r="BH3" s="164"/>
      <c r="BI3" s="164"/>
      <c r="BJ3" s="164"/>
      <c r="BK3" s="164"/>
      <c r="BL3" s="164"/>
      <c r="BM3" s="164"/>
      <c r="BN3" s="10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I3" s="2"/>
      <c r="IJ3" s="3"/>
      <c r="IK3" s="3"/>
      <c r="IL3" s="3"/>
      <c r="IM3" s="2"/>
      <c r="IN3" s="2"/>
      <c r="IO3" s="2"/>
      <c r="IP3" s="2"/>
      <c r="IQ3" s="2"/>
      <c r="IR3" s="2"/>
      <c r="IS3" s="2"/>
      <c r="IT3" s="2"/>
      <c r="IU3" s="2"/>
      <c r="IV3" s="2"/>
    </row>
    <row r="4" spans="1:256" ht="14.25" customHeight="1">
      <c r="A4" s="1"/>
      <c r="B4" s="1"/>
      <c r="C4" s="247" t="s">
        <v>134</v>
      </c>
      <c r="D4" s="248"/>
      <c r="E4" s="248"/>
      <c r="F4" s="248"/>
      <c r="G4" s="251"/>
      <c r="H4" s="248"/>
      <c r="I4" s="248"/>
      <c r="J4" s="248"/>
      <c r="K4" s="250"/>
      <c r="L4" s="1"/>
      <c r="M4" s="1"/>
      <c r="AK4" s="102"/>
      <c r="AL4" s="102"/>
      <c r="AM4" s="102"/>
      <c r="AN4" s="102"/>
      <c r="AO4" s="102"/>
      <c r="AP4" s="102"/>
      <c r="AQ4" s="102"/>
      <c r="AR4" s="102"/>
      <c r="AS4" s="102"/>
      <c r="AT4" s="102"/>
      <c r="AU4" s="102"/>
      <c r="BC4" s="164"/>
      <c r="BD4" s="317" t="s">
        <v>174</v>
      </c>
      <c r="BE4" s="318"/>
      <c r="BF4" s="318"/>
      <c r="BG4" s="318"/>
      <c r="BH4" s="318"/>
      <c r="BI4" s="318"/>
      <c r="BJ4" s="318"/>
      <c r="BK4" s="318"/>
      <c r="BL4" s="318"/>
      <c r="BM4" s="164"/>
      <c r="BN4" s="10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I4" s="2"/>
      <c r="IJ4" s="3"/>
      <c r="IK4" s="3"/>
      <c r="IL4" s="3"/>
      <c r="IM4" s="2"/>
      <c r="IN4" s="2"/>
      <c r="IO4" s="2"/>
      <c r="IP4" s="2"/>
      <c r="IQ4" s="2"/>
      <c r="IR4" s="2"/>
      <c r="IS4" s="2"/>
      <c r="IT4" s="2"/>
      <c r="IU4" s="2"/>
      <c r="IV4" s="2"/>
    </row>
    <row r="5" spans="1:256" ht="5.25" customHeight="1" thickBot="1">
      <c r="A5" s="1"/>
      <c r="B5" s="1"/>
      <c r="C5" s="1"/>
      <c r="D5" s="1"/>
      <c r="E5" s="1"/>
      <c r="F5" s="5"/>
      <c r="G5" s="1"/>
      <c r="H5" s="1"/>
      <c r="I5" s="1"/>
      <c r="J5" s="1"/>
      <c r="K5" s="1"/>
      <c r="L5" s="1"/>
      <c r="M5" s="1"/>
      <c r="AK5" s="102"/>
      <c r="AL5" s="102"/>
      <c r="AM5" s="102"/>
      <c r="AN5" s="102"/>
      <c r="AO5" s="102"/>
      <c r="AP5" s="102"/>
      <c r="AQ5" s="102"/>
      <c r="AR5" s="102"/>
      <c r="AS5" s="102"/>
      <c r="AT5" s="102"/>
      <c r="AU5" s="102"/>
      <c r="BC5" s="164"/>
      <c r="BD5" s="164"/>
      <c r="BE5" s="164"/>
      <c r="BF5" s="164"/>
      <c r="BG5" s="164"/>
      <c r="BH5" s="164"/>
      <c r="BI5" s="164"/>
      <c r="BJ5" s="164"/>
      <c r="BK5" s="164"/>
      <c r="BL5" s="164"/>
      <c r="BM5" s="164"/>
      <c r="BN5" s="10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I5" s="2"/>
      <c r="IJ5" s="3"/>
      <c r="IK5" s="3"/>
      <c r="IL5" s="3"/>
      <c r="IM5" s="2"/>
      <c r="IN5" s="2"/>
      <c r="IO5" s="2"/>
      <c r="IP5" s="2"/>
      <c r="IQ5" s="2"/>
      <c r="IR5" s="2"/>
      <c r="IS5" s="2"/>
      <c r="IT5" s="2"/>
      <c r="IU5" s="2"/>
      <c r="IV5" s="2"/>
    </row>
    <row r="6" spans="1:256" ht="24" thickBot="1">
      <c r="A6" s="5"/>
      <c r="B6" s="288" t="s">
        <v>1</v>
      </c>
      <c r="C6" s="289"/>
      <c r="D6" s="289"/>
      <c r="E6" s="289"/>
      <c r="F6" s="289"/>
      <c r="G6" s="289"/>
      <c r="H6" s="289"/>
      <c r="I6" s="289"/>
      <c r="J6" s="289"/>
      <c r="K6" s="289"/>
      <c r="L6" s="290"/>
      <c r="M6" s="1"/>
      <c r="AK6" s="102"/>
      <c r="AL6" s="102"/>
      <c r="AM6" s="102"/>
      <c r="AN6" s="102"/>
      <c r="AO6" s="102"/>
      <c r="AP6" s="102"/>
      <c r="AQ6" s="102"/>
      <c r="AR6" s="102"/>
      <c r="AS6" s="102"/>
      <c r="AT6" s="102"/>
      <c r="AU6" s="102"/>
      <c r="BC6" s="164"/>
      <c r="BD6" s="319" t="s">
        <v>216</v>
      </c>
      <c r="BE6" s="320"/>
      <c r="BF6" s="320"/>
      <c r="BG6" s="320"/>
      <c r="BH6" s="320"/>
      <c r="BI6" s="320"/>
      <c r="BJ6" s="320"/>
      <c r="BK6" s="320"/>
      <c r="BL6" s="321"/>
      <c r="BM6" s="164"/>
      <c r="BN6" s="10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I6" s="2"/>
      <c r="IJ6" s="3"/>
      <c r="IK6" s="3"/>
      <c r="IL6" s="3"/>
      <c r="IM6" s="2"/>
      <c r="IN6" s="2"/>
      <c r="IO6" s="2"/>
      <c r="IP6" s="2"/>
      <c r="IQ6" s="2"/>
      <c r="IR6" s="2"/>
      <c r="IS6" s="2"/>
      <c r="IT6" s="2"/>
      <c r="IU6" s="2"/>
      <c r="IV6" s="2"/>
    </row>
    <row r="7" spans="1:256" ht="13.5" customHeight="1">
      <c r="A7" s="5"/>
      <c r="B7" s="178"/>
      <c r="C7" s="179"/>
      <c r="D7" s="179"/>
      <c r="E7" s="179"/>
      <c r="F7" s="179"/>
      <c r="G7" s="179"/>
      <c r="H7" s="179"/>
      <c r="I7" s="7"/>
      <c r="J7" s="8" t="s">
        <v>2</v>
      </c>
      <c r="K7" s="9" t="s">
        <v>3</v>
      </c>
      <c r="L7" s="10" t="s">
        <v>171</v>
      </c>
      <c r="M7" s="1"/>
      <c r="O7" s="277"/>
      <c r="P7" s="277"/>
      <c r="Q7" s="277"/>
      <c r="R7" s="277"/>
      <c r="S7" s="277"/>
      <c r="U7" s="277"/>
      <c r="V7" s="277"/>
      <c r="W7" s="277"/>
      <c r="X7" s="277"/>
      <c r="Y7" s="277"/>
      <c r="AA7" s="14" t="s">
        <v>6</v>
      </c>
      <c r="AB7" s="15"/>
      <c r="AC7" s="16"/>
      <c r="BC7" s="312" t="s">
        <v>162</v>
      </c>
      <c r="BD7" s="312"/>
      <c r="BE7" s="312"/>
      <c r="BF7" s="312"/>
      <c r="BG7" s="312"/>
      <c r="BH7" s="164"/>
      <c r="BI7" s="312" t="s">
        <v>173</v>
      </c>
      <c r="BJ7" s="312"/>
      <c r="BK7" s="312"/>
      <c r="BL7" s="312"/>
      <c r="BM7" s="312"/>
      <c r="DN7" s="297" t="s">
        <v>116</v>
      </c>
      <c r="DO7" s="298"/>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I7" s="2"/>
      <c r="IJ7" s="3"/>
      <c r="IK7" s="3"/>
      <c r="IL7" s="3"/>
      <c r="IM7" s="2"/>
      <c r="IN7" s="2"/>
      <c r="IO7" s="2"/>
      <c r="IP7" s="2"/>
      <c r="IQ7" s="2"/>
      <c r="IR7" s="2"/>
      <c r="IS7" s="2"/>
      <c r="IT7" s="2"/>
      <c r="IU7" s="2"/>
      <c r="IV7" s="2"/>
    </row>
    <row r="8" spans="1:256" ht="13.5" customHeight="1">
      <c r="A8" s="5"/>
      <c r="B8" s="180" t="s">
        <v>7</v>
      </c>
      <c r="C8" s="46"/>
      <c r="D8" s="46"/>
      <c r="E8" s="181"/>
      <c r="F8" s="124" t="s">
        <v>2</v>
      </c>
      <c r="G8" s="46" t="s">
        <v>8</v>
      </c>
      <c r="H8" s="46" t="s">
        <v>9</v>
      </c>
      <c r="I8" s="21"/>
      <c r="J8" s="18"/>
      <c r="K8" s="293" t="s">
        <v>130</v>
      </c>
      <c r="L8" s="294"/>
      <c r="M8" s="1"/>
      <c r="O8" s="277"/>
      <c r="P8" s="277"/>
      <c r="Q8" s="277"/>
      <c r="R8" s="277"/>
      <c r="S8" s="277"/>
      <c r="U8" s="277"/>
      <c r="V8" s="277"/>
      <c r="W8" s="277"/>
      <c r="X8" s="277"/>
      <c r="Y8" s="277"/>
      <c r="AA8" s="24" t="s">
        <v>12</v>
      </c>
      <c r="AB8" s="19"/>
      <c r="AC8" s="25"/>
      <c r="BC8" s="312" t="s">
        <v>172</v>
      </c>
      <c r="BD8" s="312"/>
      <c r="BE8" s="312"/>
      <c r="BF8" s="312"/>
      <c r="BG8" s="312"/>
      <c r="BH8" s="164"/>
      <c r="BI8" s="312" t="s">
        <v>172</v>
      </c>
      <c r="BJ8" s="312"/>
      <c r="BK8" s="312"/>
      <c r="BL8" s="312"/>
      <c r="BM8" s="312"/>
      <c r="DN8" s="299"/>
      <c r="DO8" s="300"/>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I8" s="2"/>
      <c r="IJ8" s="3"/>
      <c r="IK8" s="3"/>
      <c r="IL8" s="3"/>
      <c r="IM8" s="2"/>
      <c r="IN8" s="2"/>
      <c r="IO8" s="2"/>
      <c r="IP8" s="2"/>
      <c r="IQ8" s="2"/>
      <c r="IR8" s="2"/>
      <c r="IS8" s="2"/>
      <c r="IT8" s="2"/>
      <c r="IU8" s="2"/>
      <c r="IV8" s="2"/>
    </row>
    <row r="9" spans="1:256" ht="13.5" customHeight="1">
      <c r="A9" s="5"/>
      <c r="B9" s="182"/>
      <c r="C9" s="46"/>
      <c r="D9" s="46"/>
      <c r="E9" s="46"/>
      <c r="F9" s="46"/>
      <c r="G9" s="46"/>
      <c r="H9" s="46" t="s">
        <v>13</v>
      </c>
      <c r="I9" s="27">
        <f>V34</f>
        <v>0</v>
      </c>
      <c r="J9" s="18"/>
      <c r="K9" s="18"/>
      <c r="L9" s="22"/>
      <c r="M9" s="1"/>
      <c r="O9" s="28"/>
      <c r="P9" s="126" t="s">
        <v>161</v>
      </c>
      <c r="Q9" s="29" t="s">
        <v>15</v>
      </c>
      <c r="R9" s="13" t="s">
        <v>16</v>
      </c>
      <c r="S9" s="11"/>
      <c r="U9" s="28"/>
      <c r="V9" s="13" t="s">
        <v>14</v>
      </c>
      <c r="W9" s="29" t="s">
        <v>15</v>
      </c>
      <c r="X9" s="30" t="s">
        <v>16</v>
      </c>
      <c r="Y9" s="11"/>
      <c r="AA9" s="24" t="s">
        <v>17</v>
      </c>
      <c r="AB9" s="19"/>
      <c r="AC9" s="25"/>
      <c r="BC9" s="165"/>
      <c r="BD9" s="166" t="s">
        <v>161</v>
      </c>
      <c r="BE9" s="167" t="s">
        <v>15</v>
      </c>
      <c r="BF9" s="168" t="s">
        <v>16</v>
      </c>
      <c r="BG9" s="169"/>
      <c r="BH9" s="164"/>
      <c r="BI9" s="165"/>
      <c r="BJ9" s="166" t="s">
        <v>14</v>
      </c>
      <c r="BK9" s="167" t="s">
        <v>15</v>
      </c>
      <c r="BL9" s="170" t="s">
        <v>16</v>
      </c>
      <c r="BM9" s="169"/>
      <c r="DN9" s="299"/>
      <c r="DO9" s="300"/>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I9" s="2"/>
      <c r="IJ9" s="3"/>
      <c r="IK9" s="3"/>
      <c r="IL9" s="3"/>
      <c r="IM9" s="2"/>
      <c r="IN9" s="2"/>
      <c r="IO9" s="2"/>
      <c r="IP9" s="2"/>
      <c r="IQ9" s="2"/>
      <c r="IR9" s="2"/>
      <c r="IS9" s="2"/>
      <c r="IT9" s="2"/>
      <c r="IU9" s="2"/>
      <c r="IV9" s="2"/>
    </row>
    <row r="10" spans="1:256" ht="13.5" customHeight="1">
      <c r="A10" s="5"/>
      <c r="B10" s="183" t="s">
        <v>18</v>
      </c>
      <c r="C10" s="46"/>
      <c r="D10" s="46"/>
      <c r="E10" s="184"/>
      <c r="F10" s="46"/>
      <c r="G10" s="46" t="s">
        <v>127</v>
      </c>
      <c r="H10" s="46"/>
      <c r="I10" s="32">
        <f>V37</f>
        <v>0</v>
      </c>
      <c r="J10" s="18"/>
      <c r="K10" s="18"/>
      <c r="L10" s="22"/>
      <c r="M10" s="1"/>
      <c r="O10" s="28" t="b">
        <v>0</v>
      </c>
      <c r="P10" s="33" t="s">
        <v>148</v>
      </c>
      <c r="Q10" s="34"/>
      <c r="R10" s="35"/>
      <c r="S10" s="28" t="e">
        <f>IF(#REF!,R10,Q10)</f>
        <v>#REF!</v>
      </c>
      <c r="T10" s="36">
        <f t="shared" ref="T10:T25" si="0">IF(O10,S10,0)</f>
        <v>0</v>
      </c>
      <c r="U10" s="28" t="b">
        <v>0</v>
      </c>
      <c r="V10" s="33" t="s">
        <v>148</v>
      </c>
      <c r="W10" s="35"/>
      <c r="X10" s="35"/>
      <c r="Y10" s="28" t="e">
        <f>IF(P21,X10,W10)</f>
        <v>#VALUE!</v>
      </c>
      <c r="AA10" s="24" t="s">
        <v>20</v>
      </c>
      <c r="AB10" s="19"/>
      <c r="AC10" s="25"/>
      <c r="BC10" s="165" t="b">
        <v>0</v>
      </c>
      <c r="BD10" s="171" t="s">
        <v>148</v>
      </c>
      <c r="BE10" s="34">
        <v>323</v>
      </c>
      <c r="BF10" s="35" t="s">
        <v>2</v>
      </c>
      <c r="BG10" s="165">
        <f>IF(AF21,BF10,BE10)</f>
        <v>323</v>
      </c>
      <c r="BH10" s="172"/>
      <c r="BI10" s="165" t="b">
        <v>0</v>
      </c>
      <c r="BJ10" s="171" t="s">
        <v>148</v>
      </c>
      <c r="BK10" s="35">
        <v>322</v>
      </c>
      <c r="BL10" s="35"/>
      <c r="BM10" s="165" t="e">
        <f>IF(BD21,BL10,BK10)</f>
        <v>#VALUE!</v>
      </c>
      <c r="DN10" s="299"/>
      <c r="DO10" s="300"/>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I10" s="2"/>
      <c r="IJ10" s="3"/>
      <c r="IK10" s="3"/>
      <c r="IL10" s="3"/>
      <c r="IM10" s="2"/>
      <c r="IN10" s="2"/>
      <c r="IO10" s="2"/>
      <c r="IP10" s="2"/>
      <c r="IQ10" s="2"/>
      <c r="IR10" s="2"/>
      <c r="IS10" s="2"/>
      <c r="IT10" s="2"/>
      <c r="IU10" s="2"/>
      <c r="IV10" s="2"/>
    </row>
    <row r="11" spans="1:256" ht="13.5" customHeight="1">
      <c r="A11" s="5"/>
      <c r="B11" s="291">
        <f>V36</f>
        <v>0</v>
      </c>
      <c r="C11" s="292"/>
      <c r="D11" s="46"/>
      <c r="E11" s="184"/>
      <c r="F11" s="46" t="s">
        <v>2</v>
      </c>
      <c r="G11" s="184"/>
      <c r="H11" s="46"/>
      <c r="I11" s="18"/>
      <c r="J11" s="18"/>
      <c r="K11" s="18"/>
      <c r="L11" s="22"/>
      <c r="M11" s="1"/>
      <c r="O11" s="28" t="b">
        <v>0</v>
      </c>
      <c r="P11" s="33" t="s">
        <v>149</v>
      </c>
      <c r="Q11" s="35"/>
      <c r="R11" s="35"/>
      <c r="S11" s="37" t="e">
        <f>IF(#REF!,R11,Q11)</f>
        <v>#REF!</v>
      </c>
      <c r="T11" s="36">
        <f t="shared" si="0"/>
        <v>0</v>
      </c>
      <c r="U11" s="28" t="b">
        <v>0</v>
      </c>
      <c r="V11" s="33" t="s">
        <v>149</v>
      </c>
      <c r="W11" s="35"/>
      <c r="X11" s="35"/>
      <c r="Y11" s="37" t="e">
        <f>IF(P21,X11,W11)</f>
        <v>#VALUE!</v>
      </c>
      <c r="AA11" s="38" t="s">
        <v>21</v>
      </c>
      <c r="AB11" s="39"/>
      <c r="AC11" s="40"/>
      <c r="BC11" s="165" t="b">
        <v>0</v>
      </c>
      <c r="BD11" s="171" t="s">
        <v>149</v>
      </c>
      <c r="BE11" s="35">
        <v>500</v>
      </c>
      <c r="BF11" s="35">
        <v>312</v>
      </c>
      <c r="BG11" s="165">
        <f>IF(AF21,BF11,BE11)</f>
        <v>500</v>
      </c>
      <c r="BH11" s="172"/>
      <c r="BI11" s="165" t="b">
        <v>0</v>
      </c>
      <c r="BJ11" s="171" t="s">
        <v>149</v>
      </c>
      <c r="BK11" s="35">
        <v>500</v>
      </c>
      <c r="BL11" s="35">
        <v>312</v>
      </c>
      <c r="BM11" s="165" t="e">
        <f>IF(BD21,BL11,BK11)</f>
        <v>#VALUE!</v>
      </c>
      <c r="DN11" s="299"/>
      <c r="DO11" s="300"/>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I11" s="2"/>
      <c r="IJ11" s="3"/>
      <c r="IK11" s="3"/>
      <c r="IL11" s="3"/>
      <c r="IM11" s="2"/>
      <c r="IN11" s="2"/>
      <c r="IO11" s="2"/>
      <c r="IP11" s="2"/>
      <c r="IQ11" s="2"/>
      <c r="IR11" s="2"/>
      <c r="IS11" s="2"/>
      <c r="IT11" s="2"/>
      <c r="IU11" s="2"/>
      <c r="IV11" s="2"/>
    </row>
    <row r="12" spans="1:256" ht="13.5" customHeight="1">
      <c r="A12" s="5"/>
      <c r="B12" s="182"/>
      <c r="C12" s="46"/>
      <c r="D12" s="46"/>
      <c r="E12" s="46"/>
      <c r="F12" s="46"/>
      <c r="G12" s="46"/>
      <c r="H12" s="46"/>
      <c r="I12" s="18"/>
      <c r="J12" s="18"/>
      <c r="K12" s="18"/>
      <c r="L12" s="22"/>
      <c r="M12" s="1"/>
      <c r="O12" s="28" t="b">
        <v>0</v>
      </c>
      <c r="P12" s="33" t="s">
        <v>150</v>
      </c>
      <c r="Q12" s="35"/>
      <c r="R12" s="35"/>
      <c r="S12" s="37" t="e">
        <f>IF(#REF!,R12,Q12)</f>
        <v>#REF!</v>
      </c>
      <c r="T12" s="36">
        <f t="shared" si="0"/>
        <v>0</v>
      </c>
      <c r="U12" s="28" t="b">
        <v>0</v>
      </c>
      <c r="V12" s="33" t="s">
        <v>150</v>
      </c>
      <c r="W12" s="35"/>
      <c r="X12" s="34"/>
      <c r="Y12" s="37" t="e">
        <f>IF(P21,X12,W12)</f>
        <v>#VALUE!</v>
      </c>
      <c r="BC12" s="165" t="b">
        <v>0</v>
      </c>
      <c r="BD12" s="171" t="s">
        <v>150</v>
      </c>
      <c r="BE12" s="35">
        <v>833</v>
      </c>
      <c r="BF12" s="35">
        <v>500</v>
      </c>
      <c r="BG12" s="165">
        <f>IF(AF21,BF12,BE12)</f>
        <v>833</v>
      </c>
      <c r="BH12" s="172"/>
      <c r="BI12" s="165" t="b">
        <v>0</v>
      </c>
      <c r="BJ12" s="171" t="s">
        <v>150</v>
      </c>
      <c r="BK12" s="35">
        <v>832</v>
      </c>
      <c r="BL12" s="34">
        <v>500</v>
      </c>
      <c r="BM12" s="165" t="e">
        <f>IF(BD21,BL12,BK12)</f>
        <v>#VALUE!</v>
      </c>
      <c r="DN12" s="299"/>
      <c r="DO12" s="300"/>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I12" s="2"/>
      <c r="IJ12" s="3"/>
      <c r="IK12" s="3"/>
      <c r="IL12" s="3"/>
      <c r="IM12" s="2"/>
      <c r="IN12" s="2"/>
      <c r="IO12" s="2"/>
      <c r="IP12" s="2"/>
      <c r="IQ12" s="2"/>
      <c r="IR12" s="2"/>
      <c r="IS12" s="2"/>
      <c r="IT12" s="2"/>
      <c r="IU12" s="2"/>
      <c r="IV12" s="2"/>
    </row>
    <row r="13" spans="1:256" ht="12.75" customHeight="1">
      <c r="A13" s="5"/>
      <c r="B13" s="185" t="s">
        <v>124</v>
      </c>
      <c r="C13" s="184"/>
      <c r="D13" s="184"/>
      <c r="E13" s="186"/>
      <c r="F13" s="311" t="s">
        <v>22</v>
      </c>
      <c r="G13" s="187"/>
      <c r="H13" s="188" t="s">
        <v>128</v>
      </c>
      <c r="I13" s="99"/>
      <c r="J13" s="31"/>
      <c r="K13" s="128"/>
      <c r="L13" s="22"/>
      <c r="M13" s="1"/>
      <c r="O13" s="28" t="b">
        <v>0</v>
      </c>
      <c r="P13" s="33" t="s">
        <v>151</v>
      </c>
      <c r="Q13" s="35"/>
      <c r="R13" s="35"/>
      <c r="S13" s="37" t="e">
        <f>IF(#REF!,R13,Q13)</f>
        <v>#REF!</v>
      </c>
      <c r="T13" s="36">
        <f t="shared" si="0"/>
        <v>0</v>
      </c>
      <c r="U13" s="28" t="b">
        <v>0</v>
      </c>
      <c r="V13" s="33" t="s">
        <v>151</v>
      </c>
      <c r="W13" s="35"/>
      <c r="X13" s="34"/>
      <c r="Y13" s="37" t="e">
        <f>IF(P21,X13,W13)</f>
        <v>#VALUE!</v>
      </c>
      <c r="BC13" s="165" t="b">
        <v>0</v>
      </c>
      <c r="BD13" s="171" t="s">
        <v>151</v>
      </c>
      <c r="BE13" s="35">
        <v>1279</v>
      </c>
      <c r="BF13" s="35">
        <v>769</v>
      </c>
      <c r="BG13" s="165">
        <f>IF(AF21,BF13,BE13)</f>
        <v>1279</v>
      </c>
      <c r="BH13" s="172"/>
      <c r="BI13" s="165" t="b">
        <v>0</v>
      </c>
      <c r="BJ13" s="171" t="s">
        <v>151</v>
      </c>
      <c r="BK13" s="35">
        <v>1278</v>
      </c>
      <c r="BL13" s="34">
        <v>768</v>
      </c>
      <c r="BM13" s="165" t="e">
        <f>IF(BD21,BL13,BK13)</f>
        <v>#VALUE!</v>
      </c>
      <c r="DN13" s="301"/>
      <c r="DO13" s="30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I13" s="2"/>
      <c r="IJ13" s="3"/>
      <c r="IK13" s="3"/>
      <c r="IL13" s="3"/>
      <c r="IM13" s="2"/>
      <c r="IN13" s="2"/>
      <c r="IO13" s="2"/>
      <c r="IP13" s="2"/>
      <c r="IQ13" s="2"/>
      <c r="IR13" s="2"/>
      <c r="IS13" s="2"/>
      <c r="IT13" s="2"/>
      <c r="IU13" s="2"/>
      <c r="IV13" s="2"/>
    </row>
    <row r="14" spans="1:256" ht="13.5" customHeight="1">
      <c r="A14" s="5"/>
      <c r="B14" s="185" t="s">
        <v>123</v>
      </c>
      <c r="C14" s="184"/>
      <c r="D14" s="184"/>
      <c r="E14" s="186"/>
      <c r="F14" s="311"/>
      <c r="G14" s="46"/>
      <c r="H14" s="46" t="s">
        <v>125</v>
      </c>
      <c r="I14" s="100"/>
      <c r="J14" s="31"/>
      <c r="K14" s="18"/>
      <c r="L14" s="22"/>
      <c r="M14" s="1"/>
      <c r="O14" s="28" t="b">
        <v>0</v>
      </c>
      <c r="P14" s="41" t="s">
        <v>152</v>
      </c>
      <c r="Q14" s="35"/>
      <c r="R14" s="35"/>
      <c r="S14" s="37">
        <f>IF(18,R14,Q14)</f>
        <v>0</v>
      </c>
      <c r="T14" s="36">
        <f t="shared" si="0"/>
        <v>0</v>
      </c>
      <c r="U14" s="28" t="b">
        <v>0</v>
      </c>
      <c r="V14" s="41" t="s">
        <v>152</v>
      </c>
      <c r="W14" s="35"/>
      <c r="X14" s="34"/>
      <c r="Y14" s="37">
        <f>IF(18,X14,W14)</f>
        <v>0</v>
      </c>
      <c r="BC14" s="165" t="b">
        <v>0</v>
      </c>
      <c r="BD14" s="173" t="s">
        <v>152</v>
      </c>
      <c r="BE14" s="35">
        <v>2030</v>
      </c>
      <c r="BF14" s="35">
        <v>1232</v>
      </c>
      <c r="BG14" s="165">
        <f>IF(18,BF14,BE14)</f>
        <v>1232</v>
      </c>
      <c r="BH14" s="172"/>
      <c r="BI14" s="165" t="b">
        <v>0</v>
      </c>
      <c r="BJ14" s="173" t="s">
        <v>152</v>
      </c>
      <c r="BK14" s="35">
        <v>2024</v>
      </c>
      <c r="BL14" s="34">
        <v>1231</v>
      </c>
      <c r="BM14" s="165">
        <f>IF(18,BL14,BK14)</f>
        <v>1231</v>
      </c>
      <c r="DN14" s="301"/>
      <c r="DO14" s="30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I14" s="2"/>
      <c r="IJ14" s="3"/>
      <c r="IK14" s="3"/>
      <c r="IL14" s="3"/>
      <c r="IM14" s="2"/>
      <c r="IN14" s="2"/>
      <c r="IO14" s="2"/>
      <c r="IP14" s="2"/>
      <c r="IQ14" s="2"/>
      <c r="IR14" s="2"/>
      <c r="IS14" s="2"/>
      <c r="IT14" s="2"/>
      <c r="IU14" s="2"/>
      <c r="IV14" s="2"/>
    </row>
    <row r="15" spans="1:256" ht="13.5" customHeight="1">
      <c r="A15" s="5"/>
      <c r="B15" s="189" t="s">
        <v>26</v>
      </c>
      <c r="C15" s="46"/>
      <c r="D15" s="46"/>
      <c r="E15" s="46"/>
      <c r="F15" s="181"/>
      <c r="G15" s="46" t="s">
        <v>126</v>
      </c>
      <c r="H15" s="46"/>
      <c r="I15" s="42">
        <f>IF(I14=0,0,I10*100/(I14*100*I13))</f>
        <v>0</v>
      </c>
      <c r="J15" s="18" t="s">
        <v>27</v>
      </c>
      <c r="K15" s="18"/>
      <c r="L15" s="22"/>
      <c r="M15" s="1"/>
      <c r="O15" s="28" t="b">
        <v>0</v>
      </c>
      <c r="P15" s="33" t="s">
        <v>153</v>
      </c>
      <c r="Q15" s="35"/>
      <c r="R15" s="35"/>
      <c r="S15" s="37" t="e">
        <f>IF(#REF!,R15,Q15)</f>
        <v>#REF!</v>
      </c>
      <c r="T15" s="36">
        <f t="shared" si="0"/>
        <v>0</v>
      </c>
      <c r="U15" s="28" t="b">
        <v>0</v>
      </c>
      <c r="V15" s="33" t="s">
        <v>153</v>
      </c>
      <c r="W15" s="35"/>
      <c r="X15" s="34"/>
      <c r="Y15" s="37" t="e">
        <f>IF(P21,X15,W15)</f>
        <v>#VALUE!</v>
      </c>
      <c r="BC15" s="165" t="b">
        <v>0</v>
      </c>
      <c r="BD15" s="171" t="s">
        <v>153</v>
      </c>
      <c r="BE15" s="35">
        <v>3188</v>
      </c>
      <c r="BF15" s="35">
        <v>1952</v>
      </c>
      <c r="BG15" s="165">
        <f>IF(AF21,BF15,BE15)</f>
        <v>3188</v>
      </c>
      <c r="BH15" s="172"/>
      <c r="BI15" s="165" t="b">
        <v>0</v>
      </c>
      <c r="BJ15" s="171" t="s">
        <v>153</v>
      </c>
      <c r="BK15" s="35">
        <v>3167</v>
      </c>
      <c r="BL15" s="34">
        <v>1947</v>
      </c>
      <c r="BM15" s="165" t="e">
        <f>IF(BD21,BL15,BK15)</f>
        <v>#VALUE!</v>
      </c>
      <c r="DN15" s="301"/>
      <c r="DO15" s="30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I15" s="2"/>
      <c r="IJ15" s="3"/>
      <c r="IK15" s="3"/>
      <c r="IL15" s="3"/>
      <c r="IM15" s="2"/>
      <c r="IN15" s="2"/>
      <c r="IO15" s="2"/>
      <c r="IP15" s="2"/>
      <c r="IQ15" s="2"/>
      <c r="IR15" s="2"/>
      <c r="IS15" s="2"/>
      <c r="IT15" s="2"/>
      <c r="IU15" s="2"/>
      <c r="IV15" s="2"/>
    </row>
    <row r="16" spans="1:256" ht="13.5" customHeight="1">
      <c r="A16" s="5"/>
      <c r="B16" s="182"/>
      <c r="C16" s="46"/>
      <c r="D16" s="46"/>
      <c r="E16" s="46"/>
      <c r="F16" s="46"/>
      <c r="G16" s="46"/>
      <c r="H16" s="46"/>
      <c r="I16" s="19"/>
      <c r="J16" s="18"/>
      <c r="K16" s="18"/>
      <c r="L16" s="22"/>
      <c r="M16" s="1"/>
      <c r="O16" s="28" t="b">
        <v>0</v>
      </c>
      <c r="P16" s="33" t="s">
        <v>154</v>
      </c>
      <c r="Q16" s="35"/>
      <c r="R16" s="35"/>
      <c r="S16" s="37" t="e">
        <f>IF(#REF!,R16,Q16)</f>
        <v>#REF!</v>
      </c>
      <c r="T16" s="36">
        <f t="shared" si="0"/>
        <v>0</v>
      </c>
      <c r="U16" s="28" t="b">
        <v>0</v>
      </c>
      <c r="V16" s="33" t="s">
        <v>154</v>
      </c>
      <c r="W16" s="35"/>
      <c r="X16" s="34"/>
      <c r="Y16" s="37" t="e">
        <f>IF(P21,X16,W16)</f>
        <v>#VALUE!</v>
      </c>
      <c r="AA16" s="55">
        <v>1</v>
      </c>
      <c r="AB16" s="55">
        <v>1</v>
      </c>
      <c r="AC16" s="55" t="s">
        <v>112</v>
      </c>
      <c r="BC16" s="165" t="b">
        <v>0</v>
      </c>
      <c r="BD16" s="171" t="s">
        <v>154</v>
      </c>
      <c r="BE16" s="35">
        <v>3931</v>
      </c>
      <c r="BF16" s="35">
        <v>2483</v>
      </c>
      <c r="BG16" s="165">
        <f>IF(AF21,BF16,BE16)</f>
        <v>3931</v>
      </c>
      <c r="BH16" s="172"/>
      <c r="BI16" s="165" t="b">
        <v>0</v>
      </c>
      <c r="BJ16" s="171" t="s">
        <v>154</v>
      </c>
      <c r="BK16" s="35">
        <v>3893</v>
      </c>
      <c r="BL16" s="34">
        <v>2473</v>
      </c>
      <c r="BM16" s="165" t="e">
        <f>IF(BD21,BL16,BK16)</f>
        <v>#VALUE!</v>
      </c>
      <c r="DN16" s="301"/>
      <c r="DO16" s="30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I16" s="2"/>
      <c r="IJ16" s="3"/>
      <c r="IK16" s="3"/>
      <c r="IL16" s="3"/>
      <c r="IM16" s="2"/>
      <c r="IN16" s="2"/>
      <c r="IO16" s="2"/>
      <c r="IP16" s="2"/>
      <c r="IQ16" s="2"/>
      <c r="IR16" s="2"/>
      <c r="IS16" s="2"/>
      <c r="IT16" s="2"/>
      <c r="IU16" s="2"/>
      <c r="IV16" s="2"/>
    </row>
    <row r="17" spans="1:256" ht="13.5" customHeight="1">
      <c r="A17" s="5"/>
      <c r="B17" s="190" t="s">
        <v>28</v>
      </c>
      <c r="C17" s="46"/>
      <c r="D17" s="46"/>
      <c r="E17" s="46"/>
      <c r="F17" s="46"/>
      <c r="G17" s="46"/>
      <c r="H17" s="46"/>
      <c r="I17" s="18"/>
      <c r="J17" s="18"/>
      <c r="K17" s="18"/>
      <c r="L17" s="22"/>
      <c r="M17" s="1"/>
      <c r="O17" s="28" t="b">
        <v>0</v>
      </c>
      <c r="P17" s="33" t="s">
        <v>155</v>
      </c>
      <c r="Q17" s="35"/>
      <c r="R17" s="35"/>
      <c r="S17" s="37" t="e">
        <f>IF(#REF!,R17,Q17)</f>
        <v>#REF!</v>
      </c>
      <c r="T17" s="36">
        <f t="shared" si="0"/>
        <v>0</v>
      </c>
      <c r="U17" s="28" t="b">
        <v>0</v>
      </c>
      <c r="V17" s="33" t="s">
        <v>155</v>
      </c>
      <c r="W17" s="35"/>
      <c r="X17" s="34"/>
      <c r="Y17" s="37" t="e">
        <f>IF(P21,X17,W17)</f>
        <v>#VALUE!</v>
      </c>
      <c r="AA17" s="55"/>
      <c r="AB17" s="95">
        <v>3.2810000000000001</v>
      </c>
      <c r="AC17" s="55" t="s">
        <v>113</v>
      </c>
      <c r="BC17" s="165" t="b">
        <v>0</v>
      </c>
      <c r="BD17" s="171" t="s">
        <v>155</v>
      </c>
      <c r="BE17" s="35">
        <v>5121</v>
      </c>
      <c r="BF17" s="35">
        <v>3095</v>
      </c>
      <c r="BG17" s="165">
        <f>IF(AF21,BF17,BE17)</f>
        <v>5121</v>
      </c>
      <c r="BH17" s="172"/>
      <c r="BI17" s="165" t="b">
        <v>0</v>
      </c>
      <c r="BJ17" s="171" t="s">
        <v>155</v>
      </c>
      <c r="BK17" s="35">
        <v>4809</v>
      </c>
      <c r="BL17" s="34">
        <v>3077</v>
      </c>
      <c r="BM17" s="165" t="e">
        <f>IF(BD21,BL17,BK17)</f>
        <v>#VALUE!</v>
      </c>
      <c r="DN17" s="301"/>
      <c r="DO17" s="30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I17" s="2"/>
      <c r="IJ17" s="3"/>
      <c r="IK17" s="3"/>
      <c r="IL17" s="3"/>
      <c r="IM17" s="2"/>
      <c r="IN17" s="2"/>
      <c r="IO17" s="2"/>
      <c r="IP17" s="2"/>
      <c r="IQ17" s="2"/>
      <c r="IR17" s="2"/>
      <c r="IS17" s="2"/>
      <c r="IT17" s="2"/>
      <c r="IU17" s="2"/>
      <c r="IV17" s="2"/>
    </row>
    <row r="18" spans="1:256" ht="13.5" customHeight="1">
      <c r="A18" s="5"/>
      <c r="B18" s="182"/>
      <c r="C18" s="46"/>
      <c r="D18" s="46"/>
      <c r="E18" s="314" t="s">
        <v>29</v>
      </c>
      <c r="F18" s="314"/>
      <c r="G18" s="46"/>
      <c r="H18" s="191" t="s">
        <v>30</v>
      </c>
      <c r="I18" s="127"/>
      <c r="J18" s="18"/>
      <c r="K18" s="18"/>
      <c r="L18" s="22"/>
      <c r="M18" s="1"/>
      <c r="O18" s="28" t="b">
        <v>0</v>
      </c>
      <c r="P18" s="33" t="s">
        <v>156</v>
      </c>
      <c r="Q18" s="35"/>
      <c r="R18" s="35"/>
      <c r="S18" s="37" t="e">
        <f>IF(#REF!,R18,Q18)</f>
        <v>#REF!</v>
      </c>
      <c r="T18" s="36">
        <f t="shared" si="0"/>
        <v>0</v>
      </c>
      <c r="U18" s="28" t="b">
        <v>0</v>
      </c>
      <c r="V18" s="33" t="s">
        <v>156</v>
      </c>
      <c r="W18" s="35"/>
      <c r="X18" s="34"/>
      <c r="Y18" s="37" t="e">
        <f>IF(P21,X18,W18)</f>
        <v>#VALUE!</v>
      </c>
      <c r="AA18" s="55"/>
      <c r="AB18" s="55"/>
      <c r="AC18" s="55"/>
      <c r="BC18" s="165" t="b">
        <v>0</v>
      </c>
      <c r="BD18" s="171" t="s">
        <v>156</v>
      </c>
      <c r="BE18" s="35">
        <v>6374</v>
      </c>
      <c r="BF18" s="35">
        <v>3934</v>
      </c>
      <c r="BG18" s="165">
        <f>IF(AF21,BF18,BE18)</f>
        <v>6374</v>
      </c>
      <c r="BH18" s="172"/>
      <c r="BI18" s="165" t="b">
        <v>0</v>
      </c>
      <c r="BJ18" s="171" t="s">
        <v>156</v>
      </c>
      <c r="BK18" s="35">
        <v>5888</v>
      </c>
      <c r="BL18" s="34">
        <v>3900</v>
      </c>
      <c r="BM18" s="165" t="e">
        <f>IF(BD21,BL18,BK18)</f>
        <v>#VALUE!</v>
      </c>
      <c r="DN18" s="301"/>
      <c r="DO18" s="30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I18" s="2"/>
      <c r="IJ18" s="3"/>
      <c r="IK18" s="3"/>
      <c r="IL18" s="3"/>
      <c r="IM18" s="2"/>
      <c r="IN18" s="2"/>
      <c r="IO18" s="2"/>
      <c r="IP18" s="2"/>
      <c r="IQ18" s="2"/>
      <c r="IR18" s="2"/>
      <c r="IS18" s="2"/>
      <c r="IT18" s="2"/>
      <c r="IU18" s="2"/>
      <c r="IV18" s="2"/>
    </row>
    <row r="19" spans="1:256" ht="13.5" customHeight="1">
      <c r="A19" s="5"/>
      <c r="B19" s="309" t="s">
        <v>31</v>
      </c>
      <c r="C19" s="192" t="str">
        <f>V47</f>
        <v>Select Voltage</v>
      </c>
      <c r="D19" s="192"/>
      <c r="E19" s="184"/>
      <c r="F19" s="46" t="s">
        <v>32</v>
      </c>
      <c r="G19" s="46"/>
      <c r="H19" s="193" t="s">
        <v>178</v>
      </c>
      <c r="I19" s="44" t="str">
        <f>IF(F8&gt;0,F8,I15)</f>
        <v xml:space="preserve"> </v>
      </c>
      <c r="J19" s="18"/>
      <c r="K19" s="18"/>
      <c r="L19" s="22"/>
      <c r="M19" s="1"/>
      <c r="O19" s="28" t="b">
        <v>0</v>
      </c>
      <c r="P19" s="41" t="s">
        <v>157</v>
      </c>
      <c r="Q19" s="35"/>
      <c r="R19" s="35"/>
      <c r="S19" s="37" t="e">
        <f>IF(#REF!,R19,Q19)</f>
        <v>#REF!</v>
      </c>
      <c r="T19" s="36">
        <f t="shared" si="0"/>
        <v>0</v>
      </c>
      <c r="U19" s="28" t="b">
        <v>0</v>
      </c>
      <c r="V19" s="41" t="s">
        <v>157</v>
      </c>
      <c r="W19" s="35"/>
      <c r="X19" s="34"/>
      <c r="Y19" s="37" t="e">
        <f>IF(P21,X19,W19)</f>
        <v>#VALUE!</v>
      </c>
      <c r="AA19" s="55"/>
      <c r="AB19" s="55">
        <f>IF(AA16=1,AB16,AB17)</f>
        <v>1</v>
      </c>
      <c r="AC19" s="55"/>
      <c r="BC19" s="165" t="b">
        <v>0</v>
      </c>
      <c r="BD19" s="173" t="s">
        <v>157</v>
      </c>
      <c r="BE19" s="35">
        <v>7824</v>
      </c>
      <c r="BF19" s="35">
        <v>4883</v>
      </c>
      <c r="BG19" s="165">
        <f>IF(AF21,BF19,BE19)</f>
        <v>7824</v>
      </c>
      <c r="BH19" s="172"/>
      <c r="BI19" s="165" t="b">
        <v>0</v>
      </c>
      <c r="BJ19" s="173" t="s">
        <v>157</v>
      </c>
      <c r="BK19" s="35">
        <v>7576</v>
      </c>
      <c r="BL19" s="34">
        <v>4821</v>
      </c>
      <c r="BM19" s="165" t="e">
        <f>IF(BD21,BL19,BK19)</f>
        <v>#VALUE!</v>
      </c>
      <c r="DN19" s="301"/>
      <c r="DO19" s="30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I19" s="2"/>
      <c r="IJ19" s="3"/>
      <c r="IK19" s="3"/>
      <c r="IL19" s="3"/>
      <c r="IM19" s="2"/>
      <c r="IN19" s="2"/>
      <c r="IO19" s="2"/>
      <c r="IP19" s="2"/>
      <c r="IQ19" s="2"/>
      <c r="IR19" s="2"/>
      <c r="IS19" s="2"/>
      <c r="IT19" s="2"/>
      <c r="IU19" s="2"/>
      <c r="IV19" s="2"/>
    </row>
    <row r="20" spans="1:256" ht="13.5" customHeight="1">
      <c r="A20" s="5"/>
      <c r="B20" s="310"/>
      <c r="C20" s="286" t="s">
        <v>147</v>
      </c>
      <c r="D20" s="286"/>
      <c r="E20" s="194"/>
      <c r="F20" s="287" t="s">
        <v>166</v>
      </c>
      <c r="G20" s="287"/>
      <c r="H20" s="193" t="s">
        <v>177</v>
      </c>
      <c r="I20" s="21"/>
      <c r="J20" s="46"/>
      <c r="K20" s="18"/>
      <c r="L20" s="22"/>
      <c r="M20" s="1"/>
      <c r="O20" s="28" t="b">
        <v>0</v>
      </c>
      <c r="P20" s="41" t="s">
        <v>158</v>
      </c>
      <c r="Q20" s="35"/>
      <c r="R20" s="35"/>
      <c r="S20" s="37" t="e">
        <f>IF(#REF!,R20,Q20)</f>
        <v>#REF!</v>
      </c>
      <c r="T20" s="36">
        <f t="shared" si="0"/>
        <v>0</v>
      </c>
      <c r="U20" s="28" t="b">
        <v>0</v>
      </c>
      <c r="V20" s="41" t="s">
        <v>158</v>
      </c>
      <c r="W20" s="35"/>
      <c r="X20" s="34"/>
      <c r="Y20" s="37" t="e">
        <f>IF(P21,X20,W20)</f>
        <v>#VALUE!</v>
      </c>
      <c r="BC20" s="165" t="b">
        <v>0</v>
      </c>
      <c r="BD20" s="173" t="s">
        <v>158</v>
      </c>
      <c r="BE20" s="35">
        <v>9187</v>
      </c>
      <c r="BF20" s="35">
        <v>6036</v>
      </c>
      <c r="BG20" s="165">
        <f>IF(AF21,BF20,BE20)</f>
        <v>9187</v>
      </c>
      <c r="BH20" s="172"/>
      <c r="BI20" s="165" t="b">
        <v>0</v>
      </c>
      <c r="BJ20" s="173" t="s">
        <v>158</v>
      </c>
      <c r="BK20" s="35">
        <v>8799</v>
      </c>
      <c r="BL20" s="34">
        <v>6273</v>
      </c>
      <c r="BM20" s="165" t="e">
        <f>IF(BD21,BL20,BK20)</f>
        <v>#VALUE!</v>
      </c>
      <c r="DN20" s="301"/>
      <c r="DO20" s="30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I20" s="2"/>
      <c r="IJ20" s="3"/>
      <c r="IK20" s="3"/>
      <c r="IL20" s="3"/>
      <c r="IM20" s="2"/>
      <c r="IN20" s="2"/>
      <c r="IO20" s="2"/>
      <c r="IP20" s="2"/>
      <c r="IQ20" s="2"/>
      <c r="IR20" s="2"/>
      <c r="IS20" s="2"/>
      <c r="IT20" s="2"/>
      <c r="IU20" s="2"/>
      <c r="IV20" s="2"/>
    </row>
    <row r="21" spans="1:256" ht="13.5" customHeight="1">
      <c r="A21" s="5"/>
      <c r="B21" s="182"/>
      <c r="C21" s="46"/>
      <c r="D21" s="46"/>
      <c r="E21" s="195" t="s">
        <v>164</v>
      </c>
      <c r="F21" s="313" t="s">
        <v>165</v>
      </c>
      <c r="G21" s="313"/>
      <c r="H21" s="193" t="s">
        <v>40</v>
      </c>
      <c r="I21" s="47">
        <f>AC30</f>
        <v>0</v>
      </c>
      <c r="J21" s="262" t="s">
        <v>41</v>
      </c>
      <c r="K21" s="263"/>
      <c r="L21" s="22"/>
      <c r="M21" s="1"/>
      <c r="O21" s="28" t="b">
        <v>0</v>
      </c>
      <c r="P21" s="41" t="s">
        <v>159</v>
      </c>
      <c r="Q21" s="35"/>
      <c r="R21" s="35"/>
      <c r="S21" s="37" t="e">
        <f>IF(#REF!,R21,Q21)</f>
        <v>#REF!</v>
      </c>
      <c r="T21" s="36">
        <f t="shared" si="0"/>
        <v>0</v>
      </c>
      <c r="U21" s="28" t="b">
        <v>0</v>
      </c>
      <c r="V21" s="41" t="s">
        <v>159</v>
      </c>
      <c r="W21" s="35"/>
      <c r="X21" s="34"/>
      <c r="Y21" s="37" t="e">
        <f>IF(P21,X21,W21)</f>
        <v>#VALUE!</v>
      </c>
      <c r="AC21" s="151" t="s">
        <v>112</v>
      </c>
      <c r="BC21" s="165" t="b">
        <v>0</v>
      </c>
      <c r="BD21" s="173" t="s">
        <v>159</v>
      </c>
      <c r="BE21" s="35">
        <v>11401</v>
      </c>
      <c r="BF21" s="35">
        <v>7320</v>
      </c>
      <c r="BG21" s="165">
        <f>IF(AF21,BF21,BE21)</f>
        <v>11401</v>
      </c>
      <c r="BH21" s="172"/>
      <c r="BI21" s="165" t="b">
        <v>0</v>
      </c>
      <c r="BJ21" s="173" t="s">
        <v>159</v>
      </c>
      <c r="BK21" s="35">
        <v>10573</v>
      </c>
      <c r="BL21" s="34">
        <v>7142</v>
      </c>
      <c r="BM21" s="165" t="e">
        <f>IF(BD21,BL21,BK21)</f>
        <v>#VALUE!</v>
      </c>
      <c r="DN21" s="301"/>
      <c r="DO21" s="30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I21" s="2"/>
      <c r="IJ21" s="3"/>
      <c r="IK21" s="3"/>
      <c r="IL21" s="3"/>
      <c r="IM21" s="2"/>
      <c r="IN21" s="2"/>
      <c r="IO21" s="2"/>
      <c r="IP21" s="2"/>
      <c r="IQ21" s="2"/>
      <c r="IR21" s="2"/>
      <c r="IS21" s="2"/>
      <c r="IT21" s="2"/>
      <c r="IU21" s="2"/>
      <c r="IV21" s="2"/>
    </row>
    <row r="22" spans="1:256" ht="13.5" customHeight="1" thickBot="1">
      <c r="A22" s="5"/>
      <c r="B22" s="196" t="s">
        <v>170</v>
      </c>
      <c r="C22" s="46"/>
      <c r="D22" s="46"/>
      <c r="E22" s="177"/>
      <c r="F22" s="307" t="s">
        <v>167</v>
      </c>
      <c r="G22" s="308"/>
      <c r="H22" s="197" t="s">
        <v>175</v>
      </c>
      <c r="I22" s="48">
        <f>V41</f>
        <v>0</v>
      </c>
      <c r="J22" s="18" t="s">
        <v>45</v>
      </c>
      <c r="L22" s="22"/>
      <c r="M22" s="1"/>
      <c r="O22" s="28" t="b">
        <v>0</v>
      </c>
      <c r="P22" s="41" t="s">
        <v>160</v>
      </c>
      <c r="Q22" s="35"/>
      <c r="R22" s="35"/>
      <c r="S22" s="37" t="e">
        <f>IF(#REF!,R22,Q22)</f>
        <v>#REF!</v>
      </c>
      <c r="T22" s="36">
        <f t="shared" si="0"/>
        <v>0</v>
      </c>
      <c r="U22" s="28" t="b">
        <v>0</v>
      </c>
      <c r="V22" s="41" t="s">
        <v>160</v>
      </c>
      <c r="W22" s="35"/>
      <c r="X22" s="34"/>
      <c r="Y22" s="37" t="e">
        <f>IF(P21,X22,W22)</f>
        <v>#VALUE!</v>
      </c>
      <c r="AC22" s="65">
        <f>S40</f>
        <v>0</v>
      </c>
      <c r="AD22" s="151" t="s">
        <v>201</v>
      </c>
      <c r="BC22" s="165" t="b">
        <v>0</v>
      </c>
      <c r="BD22" s="173" t="s">
        <v>160</v>
      </c>
      <c r="BE22" s="35">
        <v>13453</v>
      </c>
      <c r="BF22" s="35">
        <v>9253</v>
      </c>
      <c r="BG22" s="165">
        <f>IF(AF21,BF22,BE22)</f>
        <v>13453</v>
      </c>
      <c r="BH22" s="172"/>
      <c r="BI22" s="165" t="b">
        <v>0</v>
      </c>
      <c r="BJ22" s="173" t="s">
        <v>160</v>
      </c>
      <c r="BK22" s="35">
        <v>12337</v>
      </c>
      <c r="BL22" s="34">
        <v>8908</v>
      </c>
      <c r="BM22" s="165" t="e">
        <f>IF(BD21,BL22,BK22)</f>
        <v>#VALUE!</v>
      </c>
      <c r="DN22" s="303"/>
      <c r="DO22" s="304"/>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I22" s="2"/>
      <c r="IJ22" s="3"/>
      <c r="IK22" s="3"/>
      <c r="IL22" s="3"/>
      <c r="IM22" s="2"/>
      <c r="IN22" s="2"/>
      <c r="IO22" s="2"/>
      <c r="IP22" s="2"/>
      <c r="IQ22" s="2"/>
      <c r="IR22" s="2"/>
      <c r="IS22" s="2"/>
      <c r="IT22" s="2"/>
      <c r="IU22" s="2"/>
      <c r="IV22" s="2"/>
    </row>
    <row r="23" spans="1:256" ht="13.5" customHeight="1">
      <c r="A23" s="5"/>
      <c r="B23" s="180" t="s">
        <v>163</v>
      </c>
      <c r="C23" s="46"/>
      <c r="D23" s="46"/>
      <c r="E23" s="46"/>
      <c r="F23" s="46"/>
      <c r="G23" s="46"/>
      <c r="H23" s="193" t="s">
        <v>179</v>
      </c>
      <c r="I23" s="49">
        <f>IF(I21=0,0,(V35*I18*AB19*I19)/(I20*I21*I22))</f>
        <v>0</v>
      </c>
      <c r="J23" s="18"/>
      <c r="K23" s="18"/>
      <c r="L23" s="22"/>
      <c r="M23" s="1"/>
      <c r="O23" s="28" t="b">
        <v>0</v>
      </c>
      <c r="P23" s="33" t="s">
        <v>48</v>
      </c>
      <c r="Q23" s="35"/>
      <c r="R23" s="35"/>
      <c r="S23" s="37" t="e">
        <f>IF(#REF!,R23,Q23)</f>
        <v>#REF!</v>
      </c>
      <c r="T23" s="36">
        <f t="shared" si="0"/>
        <v>0</v>
      </c>
      <c r="U23" s="28" t="b">
        <v>0</v>
      </c>
      <c r="V23" s="33" t="s">
        <v>48</v>
      </c>
      <c r="W23" s="35"/>
      <c r="X23" s="34"/>
      <c r="Y23" s="37" t="e">
        <f>IF(P21,X23,W23)</f>
        <v>#VALUE!</v>
      </c>
      <c r="AC23" s="65">
        <f>T40</f>
        <v>0</v>
      </c>
      <c r="AD23" s="151" t="s">
        <v>202</v>
      </c>
      <c r="BC23" s="165" t="b">
        <v>0</v>
      </c>
      <c r="BD23" s="171" t="s">
        <v>48</v>
      </c>
      <c r="BE23" s="35">
        <v>15101</v>
      </c>
      <c r="BF23" s="35">
        <v>10596</v>
      </c>
      <c r="BG23" s="165">
        <f>IF(AF21,BF23,BE23)</f>
        <v>15101</v>
      </c>
      <c r="BH23" s="172"/>
      <c r="BI23" s="165" t="b">
        <v>0</v>
      </c>
      <c r="BJ23" s="171" t="s">
        <v>48</v>
      </c>
      <c r="BK23" s="35">
        <v>13339</v>
      </c>
      <c r="BL23" s="34">
        <v>9950</v>
      </c>
      <c r="BM23" s="165" t="e">
        <f>IF(BD21,BL23,BK23)</f>
        <v>#VALUE!</v>
      </c>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I23" s="2"/>
      <c r="IJ23" s="3"/>
      <c r="IK23" s="3"/>
      <c r="IL23" s="3"/>
      <c r="IM23" s="2"/>
      <c r="IN23" s="2"/>
      <c r="IO23" s="2"/>
      <c r="IP23" s="2"/>
      <c r="IQ23" s="2"/>
      <c r="IR23" s="2"/>
      <c r="IS23" s="2"/>
      <c r="IT23" s="2"/>
      <c r="IU23" s="2"/>
      <c r="IV23" s="2"/>
    </row>
    <row r="24" spans="1:256" ht="13.5" customHeight="1">
      <c r="A24" s="5"/>
      <c r="B24" s="182"/>
      <c r="C24" s="46"/>
      <c r="D24" s="46"/>
      <c r="E24" s="307" t="s">
        <v>169</v>
      </c>
      <c r="F24" s="263"/>
      <c r="G24" s="308"/>
      <c r="H24" s="184" t="s">
        <v>40</v>
      </c>
      <c r="I24" s="47">
        <f>AC31</f>
        <v>0</v>
      </c>
      <c r="J24" s="262" t="s">
        <v>50</v>
      </c>
      <c r="K24" s="263"/>
      <c r="L24" s="22"/>
      <c r="M24" s="1"/>
      <c r="O24" s="28" t="b">
        <v>0</v>
      </c>
      <c r="P24" s="33" t="s">
        <v>51</v>
      </c>
      <c r="Q24" s="35"/>
      <c r="R24" s="35"/>
      <c r="S24" s="37" t="e">
        <f>IF(#REF!,R24,Q24)</f>
        <v>#REF!</v>
      </c>
      <c r="T24" s="36">
        <f t="shared" si="0"/>
        <v>0</v>
      </c>
      <c r="U24" s="28" t="b">
        <v>0</v>
      </c>
      <c r="V24" s="33" t="s">
        <v>51</v>
      </c>
      <c r="W24" s="35"/>
      <c r="X24" s="34"/>
      <c r="Y24" s="37" t="e">
        <f>IF(P21,X24,W24)</f>
        <v>#VALUE!</v>
      </c>
      <c r="AC24" s="151" t="s">
        <v>113</v>
      </c>
      <c r="BC24" s="165" t="b">
        <v>0</v>
      </c>
      <c r="BD24" s="171" t="s">
        <v>51</v>
      </c>
      <c r="BE24" s="35">
        <v>16627</v>
      </c>
      <c r="BF24" s="35">
        <v>12197</v>
      </c>
      <c r="BG24" s="165">
        <f>IF(AF21,BF24,BE24)</f>
        <v>16627</v>
      </c>
      <c r="BH24" s="172"/>
      <c r="BI24" s="165" t="b">
        <v>0</v>
      </c>
      <c r="BJ24" s="171" t="s">
        <v>51</v>
      </c>
      <c r="BK24" s="35">
        <v>14703</v>
      </c>
      <c r="BL24" s="34">
        <v>11334</v>
      </c>
      <c r="BM24" s="165" t="e">
        <f>IF(BD21,BL24,BK24)</f>
        <v>#VALUE!</v>
      </c>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I24" s="2"/>
      <c r="IJ24" s="3"/>
      <c r="IK24" s="3"/>
      <c r="IL24" s="3"/>
      <c r="IM24" s="2"/>
      <c r="IN24" s="2"/>
      <c r="IO24" s="2"/>
      <c r="IP24" s="2"/>
      <c r="IQ24" s="2"/>
      <c r="IR24" s="2"/>
      <c r="IS24" s="2"/>
      <c r="IT24" s="2"/>
      <c r="IU24" s="2"/>
      <c r="IV24" s="2"/>
    </row>
    <row r="25" spans="1:256" ht="14.25" customHeight="1">
      <c r="A25" s="5"/>
      <c r="B25" s="190" t="s">
        <v>52</v>
      </c>
      <c r="C25" s="46"/>
      <c r="D25" s="46"/>
      <c r="E25" s="46"/>
      <c r="F25" s="307" t="s">
        <v>168</v>
      </c>
      <c r="G25" s="308"/>
      <c r="H25" s="193" t="s">
        <v>176</v>
      </c>
      <c r="I25" s="48">
        <f>V40</f>
        <v>0</v>
      </c>
      <c r="J25" s="18" t="s">
        <v>45</v>
      </c>
      <c r="K25" s="18"/>
      <c r="L25" s="22"/>
      <c r="M25" s="1"/>
      <c r="O25" s="28" t="b">
        <v>0</v>
      </c>
      <c r="P25" s="33" t="s">
        <v>55</v>
      </c>
      <c r="Q25" s="35"/>
      <c r="R25" s="35"/>
      <c r="S25" s="37" t="e">
        <f>IF(#REF!,R25,Q25)</f>
        <v>#REF!</v>
      </c>
      <c r="T25" s="36">
        <f t="shared" si="0"/>
        <v>0</v>
      </c>
      <c r="U25" s="28" t="b">
        <v>0</v>
      </c>
      <c r="V25" s="33" t="s">
        <v>55</v>
      </c>
      <c r="W25" s="35"/>
      <c r="X25" s="34"/>
      <c r="Y25" s="37" t="e">
        <f>IF(P21,X25,W25)</f>
        <v>#VALUE!</v>
      </c>
      <c r="AC25" s="65">
        <f>S62</f>
        <v>0</v>
      </c>
      <c r="AD25" s="151" t="s">
        <v>201</v>
      </c>
      <c r="BC25" s="165" t="b">
        <v>0</v>
      </c>
      <c r="BD25" s="171" t="s">
        <v>55</v>
      </c>
      <c r="BE25" s="35">
        <v>18125</v>
      </c>
      <c r="BF25" s="35">
        <v>13709</v>
      </c>
      <c r="BG25" s="165">
        <f>IF(AF21,BF25,BE25)</f>
        <v>18125</v>
      </c>
      <c r="BH25" s="172"/>
      <c r="BI25" s="165" t="b">
        <v>0</v>
      </c>
      <c r="BJ25" s="171" t="s">
        <v>55</v>
      </c>
      <c r="BK25" s="35">
        <v>15770</v>
      </c>
      <c r="BL25" s="34">
        <v>12433</v>
      </c>
      <c r="BM25" s="165" t="e">
        <f>IF(BD21,BL25,BK25)</f>
        <v>#VALUE!</v>
      </c>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I25" s="2"/>
      <c r="IJ25" s="3"/>
      <c r="IK25" s="3"/>
      <c r="IL25" s="3"/>
      <c r="IM25" s="2"/>
      <c r="IN25" s="2"/>
      <c r="IO25" s="2"/>
      <c r="IP25" s="2"/>
      <c r="IQ25" s="2"/>
      <c r="IR25" s="2"/>
      <c r="IS25" s="2"/>
      <c r="IT25" s="2"/>
      <c r="IU25" s="2"/>
      <c r="IV25" s="2"/>
    </row>
    <row r="26" spans="1:256" ht="13.5" customHeight="1">
      <c r="A26" s="5"/>
      <c r="B26" s="182"/>
      <c r="C26" s="46"/>
      <c r="D26" s="46"/>
      <c r="E26" s="46"/>
      <c r="F26" s="46"/>
      <c r="G26" s="46"/>
      <c r="H26" s="193" t="s">
        <v>179</v>
      </c>
      <c r="I26" s="49">
        <f>IF(I24=0,0,(V35*I18*AB19*I19*P35)/(I20*I24*I25))</f>
        <v>0</v>
      </c>
      <c r="J26" s="18"/>
      <c r="K26" s="18"/>
      <c r="L26" s="22"/>
      <c r="M26" s="1"/>
      <c r="O26" s="28"/>
      <c r="P26" s="33" t="s">
        <v>56</v>
      </c>
      <c r="Q26" s="35"/>
      <c r="R26" s="35"/>
      <c r="S26" s="23"/>
      <c r="T26" s="50">
        <f>SUM(T10:T25)</f>
        <v>0</v>
      </c>
      <c r="U26" s="28"/>
      <c r="V26" s="33" t="s">
        <v>56</v>
      </c>
      <c r="W26" s="35"/>
      <c r="X26" s="34"/>
      <c r="Y26" s="23"/>
      <c r="AC26" s="65">
        <f>T62</f>
        <v>0</v>
      </c>
      <c r="AD26" s="151" t="s">
        <v>202</v>
      </c>
      <c r="BC26" s="165"/>
      <c r="BD26" s="171" t="s">
        <v>56</v>
      </c>
      <c r="BE26" s="35">
        <v>18284</v>
      </c>
      <c r="BF26" s="35">
        <v>14881</v>
      </c>
      <c r="BG26" s="174"/>
      <c r="BH26" s="172"/>
      <c r="BI26" s="165"/>
      <c r="BJ26" s="171" t="s">
        <v>56</v>
      </c>
      <c r="BK26" s="35">
        <v>16607</v>
      </c>
      <c r="BL26" s="34">
        <v>13576</v>
      </c>
      <c r="BM26" s="174"/>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I26" s="2"/>
      <c r="IJ26" s="3"/>
      <c r="IK26" s="3"/>
      <c r="IL26" s="3"/>
      <c r="IM26" s="2"/>
      <c r="IN26" s="2"/>
      <c r="IO26" s="2"/>
      <c r="IP26" s="2"/>
      <c r="IQ26" s="2"/>
      <c r="IR26" s="2"/>
      <c r="IS26" s="2"/>
      <c r="IT26" s="2"/>
      <c r="IU26" s="2"/>
      <c r="IV26" s="2"/>
    </row>
    <row r="27" spans="1:256" ht="13.5" customHeight="1">
      <c r="A27" s="5"/>
      <c r="B27" s="182"/>
      <c r="C27" s="184" t="s">
        <v>57</v>
      </c>
      <c r="D27" s="184"/>
      <c r="E27" s="198"/>
      <c r="F27" s="198"/>
      <c r="G27" s="198"/>
      <c r="H27" s="198"/>
      <c r="I27" s="51"/>
      <c r="J27" s="51"/>
      <c r="K27" s="51"/>
      <c r="L27" s="22"/>
      <c r="M27" s="1"/>
      <c r="O27" s="1"/>
      <c r="P27" s="33" t="s">
        <v>58</v>
      </c>
      <c r="Q27" s="35"/>
      <c r="R27" s="35"/>
      <c r="S27" s="1"/>
      <c r="U27" s="1"/>
      <c r="V27" s="33" t="s">
        <v>58</v>
      </c>
      <c r="W27" s="35"/>
      <c r="X27" s="34"/>
      <c r="Y27" s="1"/>
      <c r="BC27" s="175"/>
      <c r="BD27" s="171" t="s">
        <v>58</v>
      </c>
      <c r="BE27" s="35">
        <v>21082</v>
      </c>
      <c r="BF27" s="35">
        <v>17226</v>
      </c>
      <c r="BG27" s="175"/>
      <c r="BH27" s="164"/>
      <c r="BI27" s="175"/>
      <c r="BJ27" s="171" t="s">
        <v>58</v>
      </c>
      <c r="BK27" s="35">
        <v>17832</v>
      </c>
      <c r="BL27" s="34">
        <v>15199</v>
      </c>
      <c r="BM27" s="175"/>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I27" s="2"/>
      <c r="IJ27" s="3"/>
      <c r="IK27" s="3"/>
      <c r="IL27" s="3"/>
      <c r="IM27" s="2"/>
      <c r="IN27" s="2"/>
      <c r="IO27" s="2"/>
      <c r="IP27" s="2"/>
      <c r="IQ27" s="2"/>
      <c r="IR27" s="2"/>
      <c r="IS27" s="2"/>
      <c r="IT27" s="2"/>
      <c r="IU27" s="2"/>
      <c r="IV27" s="2"/>
    </row>
    <row r="28" spans="1:256" ht="13.5" customHeight="1">
      <c r="A28" s="5"/>
      <c r="B28" s="182"/>
      <c r="C28" s="184" t="s">
        <v>59</v>
      </c>
      <c r="D28" s="184"/>
      <c r="E28" s="184"/>
      <c r="F28" s="46" t="s">
        <v>60</v>
      </c>
      <c r="G28" s="181"/>
      <c r="H28" s="184" t="s">
        <v>61</v>
      </c>
      <c r="I28" s="49">
        <f>1/(1+I23)</f>
        <v>1</v>
      </c>
      <c r="J28" s="18"/>
      <c r="K28" s="18"/>
      <c r="L28" s="22"/>
      <c r="M28" s="1"/>
      <c r="O28" s="1"/>
      <c r="P28" s="33" t="s">
        <v>62</v>
      </c>
      <c r="Q28" s="35"/>
      <c r="R28" s="35"/>
      <c r="S28" s="1"/>
      <c r="U28" s="1"/>
      <c r="V28" s="33" t="s">
        <v>62</v>
      </c>
      <c r="W28" s="35"/>
      <c r="X28" s="34"/>
      <c r="Y28" s="1"/>
      <c r="AB28" s="159" t="s">
        <v>210</v>
      </c>
      <c r="AC28" s="16"/>
      <c r="BC28" s="175"/>
      <c r="BD28" s="171" t="s">
        <v>62</v>
      </c>
      <c r="BE28" s="35">
        <v>22086</v>
      </c>
      <c r="BF28" s="35">
        <v>18841</v>
      </c>
      <c r="BG28" s="175"/>
      <c r="BH28" s="164"/>
      <c r="BI28" s="175"/>
      <c r="BJ28" s="171" t="s">
        <v>62</v>
      </c>
      <c r="BK28" s="35">
        <v>18477</v>
      </c>
      <c r="BL28" s="34">
        <v>16334</v>
      </c>
      <c r="BM28" s="175"/>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I28" s="2"/>
      <c r="IJ28" s="3"/>
      <c r="IK28" s="3"/>
      <c r="IL28" s="3"/>
      <c r="IM28" s="2"/>
      <c r="IN28" s="2"/>
      <c r="IO28" s="2"/>
      <c r="IP28" s="2"/>
      <c r="IQ28" s="2"/>
      <c r="IR28" s="2"/>
      <c r="IS28" s="2"/>
      <c r="IT28" s="2"/>
      <c r="IU28" s="2"/>
      <c r="IV28" s="2"/>
    </row>
    <row r="29" spans="1:256" ht="13.5" customHeight="1">
      <c r="A29" s="5"/>
      <c r="B29" s="182"/>
      <c r="C29" s="46"/>
      <c r="D29" s="46"/>
      <c r="E29" s="46"/>
      <c r="F29" s="181" t="s">
        <v>63</v>
      </c>
      <c r="G29" s="46"/>
      <c r="H29" s="184" t="s">
        <v>61</v>
      </c>
      <c r="I29" s="49">
        <f>1/(1+I26)</f>
        <v>1</v>
      </c>
      <c r="J29" s="18"/>
      <c r="K29" s="18"/>
      <c r="L29" s="22"/>
      <c r="M29" s="1"/>
      <c r="O29" s="1"/>
      <c r="P29" s="33" t="s">
        <v>64</v>
      </c>
      <c r="Q29" s="35"/>
      <c r="R29" s="35"/>
      <c r="S29" s="1"/>
      <c r="U29" s="1"/>
      <c r="V29" s="33" t="s">
        <v>64</v>
      </c>
      <c r="W29" s="35"/>
      <c r="X29" s="34"/>
      <c r="Y29" s="1"/>
      <c r="AB29" s="24"/>
      <c r="AC29" s="25"/>
      <c r="BC29" s="175"/>
      <c r="BD29" s="171" t="s">
        <v>64</v>
      </c>
      <c r="BE29" s="35">
        <v>23538</v>
      </c>
      <c r="BF29" s="35">
        <v>20920</v>
      </c>
      <c r="BG29" s="175"/>
      <c r="BH29" s="164"/>
      <c r="BI29" s="175"/>
      <c r="BJ29" s="171" t="s">
        <v>64</v>
      </c>
      <c r="BK29" s="35">
        <v>19087</v>
      </c>
      <c r="BL29" s="34">
        <v>17501</v>
      </c>
      <c r="BM29" s="175"/>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I29" s="2"/>
      <c r="IJ29" s="3"/>
      <c r="IK29" s="3"/>
      <c r="IL29" s="3"/>
      <c r="IM29" s="2"/>
      <c r="IN29" s="2"/>
      <c r="IO29" s="2"/>
      <c r="IP29" s="2"/>
      <c r="IQ29" s="2"/>
      <c r="IR29" s="2"/>
      <c r="IS29" s="2"/>
      <c r="IT29" s="2"/>
      <c r="IU29" s="2"/>
      <c r="IV29" s="2"/>
    </row>
    <row r="30" spans="1:256" ht="13.5" customHeight="1">
      <c r="A30" s="5"/>
      <c r="B30" s="305" t="s">
        <v>65</v>
      </c>
      <c r="C30" s="306"/>
      <c r="D30" s="306"/>
      <c r="E30" s="306"/>
      <c r="F30" s="306"/>
      <c r="G30" s="18"/>
      <c r="H30" s="18"/>
      <c r="I30" s="18"/>
      <c r="J30" s="18"/>
      <c r="K30" s="18"/>
      <c r="L30" s="22"/>
      <c r="M30" s="1"/>
      <c r="O30" s="1"/>
      <c r="P30" s="103" t="s">
        <v>66</v>
      </c>
      <c r="Q30" s="35"/>
      <c r="R30" s="35"/>
      <c r="S30" s="1"/>
      <c r="U30" s="1"/>
      <c r="V30" s="103" t="s">
        <v>66</v>
      </c>
      <c r="W30" s="35"/>
      <c r="X30" s="34"/>
      <c r="Y30" s="1"/>
      <c r="AB30" s="162" t="s">
        <v>201</v>
      </c>
      <c r="AC30" s="160">
        <f>IF(AA16=1,AC22,AC25)</f>
        <v>0</v>
      </c>
      <c r="BC30" s="175"/>
      <c r="BD30" s="176" t="s">
        <v>66</v>
      </c>
      <c r="BE30" s="35">
        <v>25047</v>
      </c>
      <c r="BF30" s="35">
        <v>22954</v>
      </c>
      <c r="BG30" s="175"/>
      <c r="BH30" s="164"/>
      <c r="BI30" s="175"/>
      <c r="BJ30" s="176" t="s">
        <v>66</v>
      </c>
      <c r="BK30" s="35">
        <v>20244</v>
      </c>
      <c r="BL30" s="34">
        <v>19101</v>
      </c>
      <c r="BM30" s="175"/>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I30" s="2"/>
      <c r="IJ30" s="3"/>
      <c r="IK30" s="3"/>
      <c r="IL30" s="3"/>
      <c r="IM30" s="2"/>
      <c r="IN30" s="2"/>
      <c r="IO30" s="2"/>
      <c r="IP30" s="2"/>
      <c r="IQ30" s="2"/>
      <c r="IR30" s="2"/>
      <c r="IS30" s="2"/>
      <c r="IT30" s="2"/>
      <c r="IU30" s="2"/>
      <c r="IV30" s="2"/>
    </row>
    <row r="31" spans="1:256" ht="13.5" customHeight="1">
      <c r="A31" s="5"/>
      <c r="B31" s="26"/>
      <c r="C31" s="18"/>
      <c r="D31" s="18"/>
      <c r="E31" s="18"/>
      <c r="F31" s="18"/>
      <c r="G31" s="18"/>
      <c r="H31" s="18"/>
      <c r="I31" s="18"/>
      <c r="J31" s="18"/>
      <c r="K31" s="18"/>
      <c r="L31" s="22"/>
      <c r="M31" s="1"/>
      <c r="O31" s="1"/>
      <c r="P31" s="1"/>
      <c r="Q31" s="1"/>
      <c r="R31" s="1"/>
      <c r="S31" s="1"/>
      <c r="U31" s="1"/>
      <c r="V31" s="1"/>
      <c r="W31" s="1"/>
      <c r="X31" s="1"/>
      <c r="Y31" s="1"/>
      <c r="AB31" s="163" t="s">
        <v>212</v>
      </c>
      <c r="AC31" s="161">
        <f>IF(AA16=1,AC23,AC26)</f>
        <v>0</v>
      </c>
      <c r="BC31" s="175"/>
      <c r="BD31" s="175"/>
      <c r="BE31" s="175"/>
      <c r="BF31" s="175"/>
      <c r="BG31" s="175"/>
      <c r="BH31" s="164"/>
      <c r="BI31" s="175"/>
      <c r="BJ31" s="175"/>
      <c r="BK31" s="175"/>
      <c r="BL31" s="175"/>
      <c r="BM31" s="175"/>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I31" s="2"/>
      <c r="IJ31" s="3"/>
      <c r="IK31" s="3"/>
      <c r="IL31" s="3"/>
      <c r="IM31" s="2"/>
      <c r="IN31" s="2"/>
      <c r="IO31" s="2"/>
      <c r="IP31" s="2"/>
      <c r="IQ31" s="2"/>
      <c r="IR31" s="2"/>
      <c r="IS31" s="2"/>
      <c r="IT31" s="2"/>
      <c r="IU31" s="2"/>
      <c r="IV31" s="2"/>
    </row>
    <row r="32" spans="1:256" ht="13.5" customHeight="1" thickBot="1">
      <c r="A32" s="5"/>
      <c r="B32" s="17" t="s">
        <v>67</v>
      </c>
      <c r="C32" s="18"/>
      <c r="D32" s="18"/>
      <c r="E32" s="18"/>
      <c r="F32" s="18"/>
      <c r="G32" s="18"/>
      <c r="H32" s="18"/>
      <c r="I32" s="18"/>
      <c r="J32" s="52" t="str">
        <f>IF(I20=0," ",I19*I28)</f>
        <v xml:space="preserve"> </v>
      </c>
      <c r="K32" s="31" t="s">
        <v>27</v>
      </c>
      <c r="L32" s="22"/>
      <c r="M32" s="1"/>
      <c r="O32" s="53"/>
      <c r="P32" s="53"/>
      <c r="Q32" s="53"/>
      <c r="R32" s="53"/>
      <c r="S32" s="53"/>
      <c r="U32" s="53"/>
      <c r="V32" s="53"/>
      <c r="W32" s="53"/>
      <c r="X32" s="53"/>
      <c r="Y32" s="53"/>
      <c r="BC32" s="164"/>
      <c r="BD32" s="164"/>
      <c r="BE32" s="164"/>
      <c r="BF32" s="164"/>
      <c r="BG32" s="164"/>
      <c r="BH32" s="164"/>
      <c r="BI32" s="164"/>
      <c r="BJ32" s="164"/>
      <c r="BK32" s="164"/>
      <c r="BL32" s="164"/>
      <c r="BM32" s="164"/>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I32" s="2"/>
      <c r="IJ32" s="3"/>
      <c r="IK32" s="3"/>
      <c r="IL32" s="3"/>
      <c r="IM32" s="2"/>
      <c r="IN32" s="2"/>
      <c r="IO32" s="2"/>
      <c r="IP32" s="2"/>
      <c r="IQ32" s="2"/>
      <c r="IR32" s="2"/>
      <c r="IS32" s="2"/>
      <c r="IT32" s="2"/>
      <c r="IU32" s="2"/>
      <c r="IV32" s="2"/>
    </row>
    <row r="33" spans="1:256" ht="13.5" customHeight="1">
      <c r="A33" s="5"/>
      <c r="B33" s="17" t="s">
        <v>68</v>
      </c>
      <c r="C33" s="18"/>
      <c r="D33" s="18"/>
      <c r="E33" s="18"/>
      <c r="F33" s="18"/>
      <c r="G33" s="18"/>
      <c r="H33" s="18"/>
      <c r="I33" s="18"/>
      <c r="J33" s="52" t="str">
        <f>IF(I20=0," ",I19*I29)</f>
        <v xml:space="preserve"> </v>
      </c>
      <c r="K33" s="31" t="s">
        <v>27</v>
      </c>
      <c r="L33" s="22"/>
      <c r="M33" s="1"/>
      <c r="O33" s="199"/>
      <c r="P33" s="200"/>
      <c r="Q33" s="200" t="s">
        <v>69</v>
      </c>
      <c r="R33" s="200"/>
      <c r="S33" s="200"/>
      <c r="T33" s="201"/>
      <c r="U33" s="200"/>
      <c r="V33" s="200"/>
      <c r="W33" s="200"/>
      <c r="X33" s="200"/>
      <c r="Y33" s="200"/>
      <c r="Z33" s="202"/>
      <c r="AA33" s="56">
        <f>U34</f>
        <v>1</v>
      </c>
      <c r="AB33" s="55"/>
      <c r="AC33" s="55"/>
      <c r="AD33" s="55"/>
      <c r="AE33" s="55"/>
      <c r="AF33" s="55"/>
      <c r="AG33" s="55"/>
      <c r="AH33" s="55"/>
      <c r="AI33" s="55"/>
      <c r="AJ33" s="55"/>
      <c r="AK33" s="55"/>
      <c r="AL33" s="55"/>
      <c r="AM33" s="55"/>
      <c r="AN33" s="55"/>
      <c r="AO33" s="55"/>
      <c r="AP33" s="55"/>
      <c r="AQ33" s="55"/>
      <c r="AR33" s="55"/>
      <c r="BC33" s="164"/>
      <c r="BD33" s="322" t="s">
        <v>217</v>
      </c>
      <c r="BE33" s="323"/>
      <c r="BF33" s="323"/>
      <c r="BG33" s="323"/>
      <c r="BH33" s="323"/>
      <c r="BI33" s="323"/>
      <c r="BJ33" s="323"/>
      <c r="BK33" s="323"/>
      <c r="BL33" s="324"/>
      <c r="BM33" s="164"/>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I33" s="2"/>
      <c r="IJ33" s="3"/>
      <c r="IK33" s="3"/>
      <c r="IL33" s="3"/>
      <c r="IM33" s="2"/>
      <c r="IN33" s="2"/>
      <c r="IO33" s="2"/>
      <c r="IP33" s="2"/>
      <c r="IQ33" s="2"/>
      <c r="IR33" s="2"/>
      <c r="IS33" s="2"/>
      <c r="IT33" s="2"/>
      <c r="IU33" s="2"/>
      <c r="IV33" s="2"/>
    </row>
    <row r="34" spans="1:256" ht="14.25" customHeight="1" thickBot="1">
      <c r="A34" s="5"/>
      <c r="B34" s="57"/>
      <c r="C34" s="58"/>
      <c r="D34" s="58"/>
      <c r="E34" s="58"/>
      <c r="F34" s="58"/>
      <c r="G34" s="58"/>
      <c r="H34" s="58"/>
      <c r="I34" s="58"/>
      <c r="J34" s="58"/>
      <c r="K34" s="58"/>
      <c r="L34" s="59"/>
      <c r="M34" s="1"/>
      <c r="O34" s="203"/>
      <c r="P34" s="204">
        <v>1</v>
      </c>
      <c r="Q34" s="204">
        <v>0</v>
      </c>
      <c r="R34" s="204" t="s">
        <v>70</v>
      </c>
      <c r="S34" s="204">
        <f>IF($P$34=2,R48,0)</f>
        <v>0</v>
      </c>
      <c r="T34" s="205">
        <f>IF($P$34=2,R47,0)</f>
        <v>0</v>
      </c>
      <c r="U34" s="204">
        <v>1</v>
      </c>
      <c r="V34" s="204">
        <f>CHOOSE(U34,0,240,220,208,208,220,380,416,480,480,600)</f>
        <v>0</v>
      </c>
      <c r="W34" s="204" t="s">
        <v>71</v>
      </c>
      <c r="X34" s="204"/>
      <c r="Y34" s="204"/>
      <c r="Z34" s="206"/>
      <c r="AA34" s="55"/>
      <c r="AB34" s="55"/>
      <c r="AC34" s="55"/>
      <c r="AD34" s="55"/>
      <c r="AE34" s="55"/>
      <c r="AF34" s="55"/>
      <c r="AG34" s="55"/>
      <c r="AH34" s="55"/>
      <c r="AI34" s="55"/>
      <c r="AJ34" s="55"/>
      <c r="AK34" s="55"/>
      <c r="AL34" s="55"/>
      <c r="AM34" s="55"/>
      <c r="AN34" s="55"/>
      <c r="AO34" s="55"/>
      <c r="AP34" s="55"/>
      <c r="AQ34" s="55"/>
      <c r="AR34" s="55"/>
      <c r="BC34" s="164"/>
      <c r="BD34" s="325"/>
      <c r="BE34" s="326"/>
      <c r="BF34" s="326"/>
      <c r="BG34" s="326"/>
      <c r="BH34" s="326"/>
      <c r="BI34" s="326"/>
      <c r="BJ34" s="326"/>
      <c r="BK34" s="326"/>
      <c r="BL34" s="327"/>
      <c r="BM34" s="164"/>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I34" s="2"/>
      <c r="IJ34" s="3"/>
      <c r="IK34" s="3"/>
      <c r="IL34" s="3"/>
      <c r="IM34" s="2"/>
      <c r="IN34" s="2"/>
      <c r="IO34" s="2"/>
      <c r="IP34" s="2"/>
      <c r="IQ34" s="2"/>
      <c r="IR34" s="2"/>
      <c r="IS34" s="2"/>
      <c r="IT34" s="2"/>
      <c r="IU34" s="2"/>
      <c r="IV34" s="2"/>
    </row>
    <row r="35" spans="1:256" ht="14.25" customHeight="1">
      <c r="A35" s="5"/>
      <c r="B35" s="1"/>
      <c r="C35" s="1"/>
      <c r="D35" s="1"/>
      <c r="E35" s="1"/>
      <c r="F35" s="1"/>
      <c r="G35" s="1"/>
      <c r="H35" s="1"/>
      <c r="I35" s="1"/>
      <c r="J35" s="1"/>
      <c r="K35" s="1"/>
      <c r="L35" s="1"/>
      <c r="M35" s="1"/>
      <c r="O35" s="203"/>
      <c r="P35" s="204">
        <f>CHOOSE(U34,0,Q35,Q36,Q37,Q38,Q39,Q40,Q41,Q42,Q43,Q44)</f>
        <v>0</v>
      </c>
      <c r="Q35" s="125">
        <v>1.5</v>
      </c>
      <c r="R35" s="204" t="s">
        <v>72</v>
      </c>
      <c r="S35" s="204">
        <f>IF($P$34=3,S48,0)</f>
        <v>0</v>
      </c>
      <c r="T35" s="205">
        <f>IF($P$34=3,S47,0)</f>
        <v>0</v>
      </c>
      <c r="U35" s="204"/>
      <c r="V35" s="204">
        <f>CHOOSE(U34,0,2,2,2,1.732,1.732,1.732,1.732,2,1.732,1.732)</f>
        <v>0</v>
      </c>
      <c r="W35" s="204" t="s">
        <v>73</v>
      </c>
      <c r="X35" s="204"/>
      <c r="Y35" s="204"/>
      <c r="Z35" s="206"/>
      <c r="AA35" s="55"/>
      <c r="AB35" s="55"/>
      <c r="AC35" s="55"/>
      <c r="AD35" s="55"/>
      <c r="AE35" s="55"/>
      <c r="AF35" s="55"/>
      <c r="AG35" s="55"/>
      <c r="AH35" s="55"/>
      <c r="AI35" s="55"/>
      <c r="AJ35" s="55"/>
      <c r="AK35" s="55"/>
      <c r="AL35" s="55"/>
      <c r="AM35" s="55"/>
      <c r="AN35" s="55"/>
      <c r="AO35" s="55"/>
      <c r="AP35" s="55"/>
      <c r="AQ35" s="55"/>
      <c r="AR35" s="55"/>
      <c r="BC35" s="312" t="s">
        <v>162</v>
      </c>
      <c r="BD35" s="312"/>
      <c r="BE35" s="312"/>
      <c r="BF35" s="312"/>
      <c r="BG35" s="312"/>
      <c r="BH35" s="164"/>
      <c r="BI35" s="312" t="s">
        <v>173</v>
      </c>
      <c r="BJ35" s="312"/>
      <c r="BK35" s="312"/>
      <c r="BL35" s="312"/>
      <c r="BM35" s="31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I35" s="2"/>
      <c r="IJ35" s="3"/>
      <c r="IK35" s="3"/>
      <c r="IL35" s="3"/>
      <c r="IM35" s="2"/>
      <c r="IN35" s="2"/>
      <c r="IO35" s="2"/>
      <c r="IP35" s="2"/>
      <c r="IQ35" s="2"/>
      <c r="IR35" s="2"/>
      <c r="IS35" s="2"/>
      <c r="IT35" s="2"/>
      <c r="IU35" s="2"/>
      <c r="IV35" s="2"/>
    </row>
    <row r="36" spans="1:256" ht="13.5" customHeight="1">
      <c r="A36" s="5"/>
      <c r="B36" s="6"/>
      <c r="C36" s="7"/>
      <c r="D36" s="7"/>
      <c r="E36" s="7"/>
      <c r="F36" s="7"/>
      <c r="G36" s="7"/>
      <c r="H36" s="7"/>
      <c r="I36" s="7"/>
      <c r="J36" s="7"/>
      <c r="K36" s="7"/>
      <c r="L36" s="61"/>
      <c r="M36" s="1"/>
      <c r="O36" s="24"/>
      <c r="P36" s="207" t="s">
        <v>131</v>
      </c>
      <c r="Q36" s="125">
        <v>1.5</v>
      </c>
      <c r="R36" s="207" t="s">
        <v>74</v>
      </c>
      <c r="S36" s="204">
        <f>IF($P$34=4,X48,0)</f>
        <v>0</v>
      </c>
      <c r="T36" s="205">
        <f>IF($P$34=4,X47,0)</f>
        <v>0</v>
      </c>
      <c r="U36" s="207"/>
      <c r="V36" s="204">
        <f>CHOOSE(U34,0,"E","E","E","E x 1.732","E x 1.732","E x 1.732","E x 1.732","E","E x 1.732","E x 1.732","E x 1.732")</f>
        <v>0</v>
      </c>
      <c r="W36" s="204" t="s">
        <v>117</v>
      </c>
      <c r="X36" s="204"/>
      <c r="Y36" s="204"/>
      <c r="Z36" s="206"/>
      <c r="AA36" s="55"/>
      <c r="AB36" s="55"/>
      <c r="AC36" s="55"/>
      <c r="AD36" s="55"/>
      <c r="AE36" s="55"/>
      <c r="AF36" s="55"/>
      <c r="AG36" s="55"/>
      <c r="AH36" s="55"/>
      <c r="AI36" s="55"/>
      <c r="AJ36" s="55"/>
      <c r="AK36" s="55"/>
      <c r="AL36" s="55"/>
      <c r="AM36" s="55"/>
      <c r="AN36" s="55"/>
      <c r="AO36" s="55"/>
      <c r="AP36" s="55"/>
      <c r="AQ36" s="55"/>
      <c r="AR36" s="55"/>
      <c r="BC36" s="312" t="s">
        <v>172</v>
      </c>
      <c r="BD36" s="312"/>
      <c r="BE36" s="312"/>
      <c r="BF36" s="312"/>
      <c r="BG36" s="312"/>
      <c r="BH36" s="164"/>
      <c r="BI36" s="312" t="s">
        <v>172</v>
      </c>
      <c r="BJ36" s="312"/>
      <c r="BK36" s="312"/>
      <c r="BL36" s="312"/>
      <c r="BM36" s="31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I36" s="2"/>
      <c r="IJ36" s="3"/>
      <c r="IK36" s="3"/>
      <c r="IL36" s="3"/>
      <c r="IM36" s="2"/>
      <c r="IN36" s="2"/>
      <c r="IO36" s="2"/>
      <c r="IP36" s="2"/>
      <c r="IQ36" s="2"/>
      <c r="IR36" s="2"/>
      <c r="IS36" s="2"/>
      <c r="IT36" s="2"/>
      <c r="IU36" s="2"/>
      <c r="IV36" s="2"/>
    </row>
    <row r="37" spans="1:256" ht="13.5" customHeight="1">
      <c r="A37" s="1"/>
      <c r="B37" s="43" t="s">
        <v>76</v>
      </c>
      <c r="C37" s="18"/>
      <c r="D37" s="280" t="s">
        <v>2</v>
      </c>
      <c r="E37" s="281"/>
      <c r="F37" s="281"/>
      <c r="G37" s="281"/>
      <c r="H37" s="281"/>
      <c r="I37" s="282"/>
      <c r="J37" s="18"/>
      <c r="K37" s="18"/>
      <c r="L37" s="22"/>
      <c r="M37" s="1"/>
      <c r="O37" s="24"/>
      <c r="P37" s="207"/>
      <c r="Q37" s="125">
        <v>1</v>
      </c>
      <c r="R37" s="207" t="s">
        <v>78</v>
      </c>
      <c r="S37" s="204">
        <f>IF($P$34=5,Y48,0)</f>
        <v>0</v>
      </c>
      <c r="T37" s="205">
        <f>IF($P$34=5,Y47,0)</f>
        <v>0</v>
      </c>
      <c r="U37" s="207"/>
      <c r="V37" s="204">
        <f>CHOOSE(U34,0,I8*1000/I9,I8*1000/I9,I8*1000/I9,I8*1000/(I9*1.732),I8*1000/(I9*1.732),I8*1000/(I9*1.732),I8*1000/(I9*1.732),I8*1000/I9,I8*1000/(I9*1.732),I8*1000/(I9*1.732))</f>
        <v>0</v>
      </c>
      <c r="W37" s="204" t="s">
        <v>75</v>
      </c>
      <c r="X37" s="208"/>
      <c r="Y37" s="208"/>
      <c r="Z37" s="206"/>
      <c r="AA37" s="55"/>
      <c r="AB37" s="55"/>
      <c r="AC37" s="55"/>
      <c r="AD37" s="55"/>
      <c r="AE37" s="55"/>
      <c r="AF37" s="55"/>
      <c r="AG37" s="55"/>
      <c r="AH37" s="55"/>
      <c r="AI37" s="55"/>
      <c r="AJ37" s="55"/>
      <c r="AK37" s="55"/>
      <c r="AL37" s="55"/>
      <c r="AM37" s="55"/>
      <c r="AN37" s="55"/>
      <c r="AO37" s="55"/>
      <c r="AP37" s="55"/>
      <c r="AQ37" s="55"/>
      <c r="AR37" s="55"/>
      <c r="BC37" s="165"/>
      <c r="BD37" s="166" t="s">
        <v>161</v>
      </c>
      <c r="BE37" s="167" t="s">
        <v>15</v>
      </c>
      <c r="BF37" s="168" t="s">
        <v>16</v>
      </c>
      <c r="BG37" s="169"/>
      <c r="BH37" s="164"/>
      <c r="BI37" s="165"/>
      <c r="BJ37" s="166" t="s">
        <v>14</v>
      </c>
      <c r="BK37" s="167" t="s">
        <v>15</v>
      </c>
      <c r="BL37" s="170" t="s">
        <v>16</v>
      </c>
      <c r="BM37" s="169"/>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I37" s="2"/>
      <c r="IJ37" s="3"/>
      <c r="IK37" s="3"/>
      <c r="IL37" s="3"/>
      <c r="IM37" s="2"/>
      <c r="IN37" s="2"/>
      <c r="IO37" s="2"/>
      <c r="IP37" s="2"/>
      <c r="IQ37" s="2"/>
      <c r="IR37" s="2"/>
      <c r="IS37" s="2"/>
      <c r="IT37" s="2"/>
      <c r="IU37" s="2"/>
      <c r="IV37" s="2"/>
    </row>
    <row r="38" spans="1:256" ht="13.5" customHeight="1">
      <c r="A38" s="1"/>
      <c r="B38" s="26"/>
      <c r="C38" s="18"/>
      <c r="D38" s="18"/>
      <c r="E38" s="18"/>
      <c r="F38" s="18"/>
      <c r="G38" s="18"/>
      <c r="H38" s="18"/>
      <c r="I38" s="18"/>
      <c r="J38" s="18"/>
      <c r="K38" s="18"/>
      <c r="L38" s="22"/>
      <c r="M38" s="1"/>
      <c r="O38" s="24"/>
      <c r="P38" s="207"/>
      <c r="Q38" s="125">
        <v>1</v>
      </c>
      <c r="R38" s="207"/>
      <c r="S38" s="207"/>
      <c r="T38" s="207"/>
      <c r="U38" s="207"/>
      <c r="V38" s="207"/>
      <c r="W38" s="209" t="s">
        <v>79</v>
      </c>
      <c r="X38" s="207"/>
      <c r="Y38" s="207"/>
      <c r="Z38" s="206"/>
      <c r="AA38" s="55"/>
      <c r="AB38" s="55"/>
      <c r="AC38" s="55"/>
      <c r="AD38" s="64"/>
      <c r="AE38" s="55"/>
      <c r="AF38" s="55"/>
      <c r="AG38" s="55"/>
      <c r="AH38" s="55"/>
      <c r="AI38" s="55"/>
      <c r="AJ38" s="55"/>
      <c r="AK38" s="55"/>
      <c r="AL38" s="55"/>
      <c r="AM38" s="55"/>
      <c r="AN38" s="55"/>
      <c r="AO38" s="55"/>
      <c r="AP38" s="55"/>
      <c r="AQ38" s="55"/>
      <c r="AR38" s="55"/>
      <c r="BC38" s="165" t="b">
        <v>0</v>
      </c>
      <c r="BD38" s="171" t="s">
        <v>148</v>
      </c>
      <c r="BE38" s="34">
        <f>TABLES!G74</f>
        <v>98.022211193196881</v>
      </c>
      <c r="BF38" s="35">
        <f>TABLES!P74</f>
        <v>0</v>
      </c>
      <c r="BG38" s="165">
        <f>IF(AF49,BF38,BE38)</f>
        <v>0</v>
      </c>
      <c r="BH38" s="172"/>
      <c r="BI38" s="165" t="b">
        <v>0</v>
      </c>
      <c r="BJ38" s="171" t="s">
        <v>148</v>
      </c>
      <c r="BK38" s="35">
        <f>TABLES!G99</f>
        <v>98.012088066583573</v>
      </c>
      <c r="BL38" s="35">
        <f>TABLES!P99</f>
        <v>0</v>
      </c>
      <c r="BM38" s="165" t="e">
        <f>IF(BD49,BL38,BK38)</f>
        <v>#VALUE!</v>
      </c>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I38" s="2"/>
      <c r="IJ38" s="3"/>
      <c r="IK38" s="3"/>
      <c r="IL38" s="3"/>
      <c r="IM38" s="2"/>
      <c r="IN38" s="2"/>
      <c r="IO38" s="2"/>
      <c r="IP38" s="2"/>
      <c r="IQ38" s="2"/>
      <c r="IR38" s="2"/>
      <c r="IS38" s="2"/>
      <c r="IT38" s="2"/>
      <c r="IU38" s="2"/>
      <c r="IV38" s="2"/>
    </row>
    <row r="39" spans="1:256" ht="13.5" customHeight="1">
      <c r="A39" s="1"/>
      <c r="B39" s="283" t="str">
        <f>AM51</f>
        <v>Single Phase Feeder</v>
      </c>
      <c r="C39" s="284"/>
      <c r="D39" s="284"/>
      <c r="E39" s="285"/>
      <c r="F39" s="278" t="str">
        <f>IF(AP51=1,"Length (distance)"," ")</f>
        <v>Length (distance)</v>
      </c>
      <c r="G39" s="279"/>
      <c r="H39" s="18" t="s">
        <v>30</v>
      </c>
      <c r="I39" s="21"/>
      <c r="J39" s="18"/>
      <c r="K39" s="18"/>
      <c r="L39" s="22"/>
      <c r="M39" s="1"/>
      <c r="O39" s="24"/>
      <c r="P39" s="207"/>
      <c r="Q39" s="125">
        <v>1</v>
      </c>
      <c r="R39" s="207"/>
      <c r="S39" s="207"/>
      <c r="T39" s="207"/>
      <c r="U39" s="207"/>
      <c r="V39" s="207"/>
      <c r="W39" s="209" t="s">
        <v>118</v>
      </c>
      <c r="X39" s="207"/>
      <c r="Y39" s="207"/>
      <c r="Z39" s="206"/>
      <c r="AA39" s="55"/>
      <c r="AB39" s="55"/>
      <c r="AC39" s="55"/>
      <c r="AD39" s="55"/>
      <c r="AE39" s="55"/>
      <c r="AF39" s="55"/>
      <c r="AG39" s="55"/>
      <c r="AH39" s="55"/>
      <c r="AI39" s="55"/>
      <c r="AJ39" s="55"/>
      <c r="AK39" s="55"/>
      <c r="AL39" s="55"/>
      <c r="AM39" s="55"/>
      <c r="AN39" s="55"/>
      <c r="AO39" s="55"/>
      <c r="AP39" s="55"/>
      <c r="AQ39" s="55"/>
      <c r="AR39" s="55"/>
      <c r="BC39" s="165" t="b">
        <v>0</v>
      </c>
      <c r="BD39" s="171" t="s">
        <v>149</v>
      </c>
      <c r="BE39" s="34">
        <f>TABLES!G75</f>
        <v>151.46069491243364</v>
      </c>
      <c r="BF39" s="35">
        <f>TABLES!P75</f>
        <v>95.224566537234651</v>
      </c>
      <c r="BG39" s="165">
        <f>IF(AF49,BF39,BE39)</f>
        <v>95.224566537234651</v>
      </c>
      <c r="BH39" s="172"/>
      <c r="BI39" s="165" t="b">
        <v>0</v>
      </c>
      <c r="BJ39" s="171" t="s">
        <v>149</v>
      </c>
      <c r="BK39" s="35">
        <f>TABLES!G100</f>
        <v>151.42873907511225</v>
      </c>
      <c r="BL39" s="35">
        <f>TABLES!P100</f>
        <v>95.216623611544179</v>
      </c>
      <c r="BM39" s="165" t="e">
        <f>IF(BD49,BL39,BK39)</f>
        <v>#VALUE!</v>
      </c>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I39" s="2"/>
      <c r="IJ39" s="3"/>
      <c r="IK39" s="3"/>
      <c r="IL39" s="3"/>
      <c r="IM39" s="2"/>
      <c r="IN39" s="2"/>
      <c r="IO39" s="2"/>
      <c r="IP39" s="2"/>
      <c r="IQ39" s="2"/>
      <c r="IR39" s="2"/>
      <c r="IS39" s="2"/>
      <c r="IT39" s="2"/>
      <c r="IU39" s="2"/>
      <c r="IV39" s="2"/>
    </row>
    <row r="40" spans="1:256" ht="13.5" customHeight="1">
      <c r="A40" s="1"/>
      <c r="B40" s="269" t="s">
        <v>31</v>
      </c>
      <c r="C40" s="31" t="str">
        <f>V50</f>
        <v xml:space="preserve">        2 x L x I</v>
      </c>
      <c r="D40" s="31"/>
      <c r="E40" s="31"/>
      <c r="F40" s="18" t="str">
        <f>IF(AP51=1,"      (ASC)"," ")</f>
        <v xml:space="preserve">      (ASC)</v>
      </c>
      <c r="G40" s="18"/>
      <c r="H40" s="18" t="s">
        <v>33</v>
      </c>
      <c r="I40" s="44" t="str">
        <f>IF(AP51=1,J32," ")</f>
        <v xml:space="preserve"> </v>
      </c>
      <c r="J40" s="18" t="str">
        <f>IF(AP51=1," Phase"," ")</f>
        <v xml:space="preserve"> Phase</v>
      </c>
      <c r="K40" s="44" t="str">
        <f>IF(AP51=1,J33," ")</f>
        <v xml:space="preserve"> </v>
      </c>
      <c r="L40" s="22" t="str">
        <f>IF(AP51=1," Neutral"," ")</f>
        <v xml:space="preserve"> Neutral</v>
      </c>
      <c r="M40" s="1"/>
      <c r="O40" s="24"/>
      <c r="P40" s="207" t="s">
        <v>132</v>
      </c>
      <c r="Q40" s="125">
        <v>1</v>
      </c>
      <c r="R40" s="207"/>
      <c r="S40" s="207">
        <f>SUM(S34:S37)</f>
        <v>0</v>
      </c>
      <c r="T40" s="210">
        <f>SUM(T34:T37)</f>
        <v>0</v>
      </c>
      <c r="U40" s="207"/>
      <c r="V40" s="204">
        <f>CHOOSE(U34,0,120,127,120,120,127,220,240,277,277,347)</f>
        <v>0</v>
      </c>
      <c r="W40" s="209" t="s">
        <v>111</v>
      </c>
      <c r="X40" s="207"/>
      <c r="Y40" s="207"/>
      <c r="Z40" s="206"/>
      <c r="AA40" s="55"/>
      <c r="AB40" s="55"/>
      <c r="AC40" s="55"/>
      <c r="AD40" s="55"/>
      <c r="AE40" s="55"/>
      <c r="AF40" s="55"/>
      <c r="AG40" s="55"/>
      <c r="AH40" s="55"/>
      <c r="AI40" s="55"/>
      <c r="AJ40" s="55"/>
      <c r="AK40" s="55"/>
      <c r="AL40" s="55"/>
      <c r="AM40" s="55"/>
      <c r="AN40" s="55"/>
      <c r="AO40" s="55"/>
      <c r="AP40" s="55"/>
      <c r="AQ40" s="55"/>
      <c r="AR40" s="55"/>
      <c r="BC40" s="165" t="b">
        <v>0</v>
      </c>
      <c r="BD40" s="171" t="s">
        <v>150</v>
      </c>
      <c r="BE40" s="34">
        <f>TABLES!G76</f>
        <v>256.18385018184284</v>
      </c>
      <c r="BF40" s="35">
        <f>TABLES!P76</f>
        <v>151.46839686246017</v>
      </c>
      <c r="BG40" s="165">
        <f>IF(AF49,BF40,BE40)</f>
        <v>151.46839686246017</v>
      </c>
      <c r="BH40" s="172"/>
      <c r="BI40" s="165" t="b">
        <v>0</v>
      </c>
      <c r="BJ40" s="171" t="s">
        <v>150</v>
      </c>
      <c r="BK40" s="35">
        <f>TABLES!G101</f>
        <v>256.04984340885852</v>
      </c>
      <c r="BL40" s="35">
        <f>TABLES!P101</f>
        <v>151.44068541181903</v>
      </c>
      <c r="BM40" s="165" t="e">
        <f>IF(BD49,BL40,BK40)</f>
        <v>#VALUE!</v>
      </c>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I40" s="2"/>
      <c r="IJ40" s="3"/>
      <c r="IK40" s="3"/>
      <c r="IL40" s="3"/>
      <c r="IM40" s="2"/>
      <c r="IN40" s="2"/>
      <c r="IO40" s="2"/>
      <c r="IP40" s="2"/>
      <c r="IQ40" s="2"/>
      <c r="IR40" s="2"/>
      <c r="IS40" s="2"/>
      <c r="IT40" s="2"/>
      <c r="IU40" s="2"/>
      <c r="IV40" s="2"/>
    </row>
    <row r="41" spans="1:256" ht="13.5" customHeight="1">
      <c r="A41" s="1"/>
      <c r="B41" s="270"/>
      <c r="C41" s="31" t="s">
        <v>35</v>
      </c>
      <c r="D41" s="31"/>
      <c r="E41" s="31"/>
      <c r="F41" s="45" t="str">
        <f>IF(AP51=1,"# conductors per phase"," ")</f>
        <v># conductors per phase</v>
      </c>
      <c r="G41" s="18"/>
      <c r="H41" s="18" t="s">
        <v>37</v>
      </c>
      <c r="I41" s="21"/>
      <c r="J41" s="46"/>
      <c r="K41" s="18"/>
      <c r="L41" s="22"/>
      <c r="M41" s="1"/>
      <c r="O41" s="24"/>
      <c r="P41" s="207"/>
      <c r="Q41" s="125">
        <v>1</v>
      </c>
      <c r="R41" s="207"/>
      <c r="S41" s="207"/>
      <c r="T41" s="207"/>
      <c r="U41" s="207"/>
      <c r="V41" s="204">
        <f>CHOOSE(U34,0,240,220,208,208,220,380,416,480,480,600)</f>
        <v>0</v>
      </c>
      <c r="W41" s="209" t="s">
        <v>115</v>
      </c>
      <c r="X41" s="207"/>
      <c r="Y41" s="207"/>
      <c r="Z41" s="206"/>
      <c r="AA41" s="55"/>
      <c r="AB41" s="55"/>
      <c r="AC41" s="55" t="s">
        <v>119</v>
      </c>
      <c r="AD41" s="55">
        <f>CHOOSE($U$34,0,-1,-1,-1,1,1,1,1,-1,1,1)</f>
        <v>0</v>
      </c>
      <c r="AE41" s="55"/>
      <c r="AF41" s="55"/>
      <c r="AG41" s="55"/>
      <c r="AH41" s="55"/>
      <c r="AI41" s="55"/>
      <c r="AJ41" s="55"/>
      <c r="AK41" s="55"/>
      <c r="AL41" s="55"/>
      <c r="AM41" s="55"/>
      <c r="AN41" s="55"/>
      <c r="AO41" s="55"/>
      <c r="AP41" s="55"/>
      <c r="AQ41" s="55"/>
      <c r="AR41" s="55"/>
      <c r="BC41" s="165" t="b">
        <v>0</v>
      </c>
      <c r="BD41" s="171" t="s">
        <v>151</v>
      </c>
      <c r="BE41" s="34">
        <f>TABLES!G77</f>
        <v>389.75645568073276</v>
      </c>
      <c r="BF41" s="35">
        <f>TABLES!P77</f>
        <v>232.37446788791098</v>
      </c>
      <c r="BG41" s="165">
        <f>IF(AF49,BF41,BE41)</f>
        <v>232.37446788791098</v>
      </c>
      <c r="BH41" s="172"/>
      <c r="BI41" s="165" t="b">
        <v>0</v>
      </c>
      <c r="BJ41" s="171" t="s">
        <v>151</v>
      </c>
      <c r="BK41" s="35">
        <f>TABLES!G102</f>
        <v>389.2798783860402</v>
      </c>
      <c r="BL41" s="35">
        <f>TABLES!P102</f>
        <v>232.27334902110846</v>
      </c>
      <c r="BM41" s="165" t="e">
        <f>IF(BD49,BL41,BK41)</f>
        <v>#VALUE!</v>
      </c>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I41" s="2"/>
      <c r="IJ41" s="3"/>
      <c r="IK41" s="3"/>
      <c r="IL41" s="3"/>
      <c r="IM41" s="2"/>
      <c r="IN41" s="2"/>
      <c r="IO41" s="2"/>
      <c r="IP41" s="2"/>
      <c r="IQ41" s="2"/>
      <c r="IR41" s="2"/>
      <c r="IS41" s="2"/>
      <c r="IT41" s="2"/>
      <c r="IU41" s="2"/>
      <c r="IV41" s="2"/>
    </row>
    <row r="42" spans="1:256" ht="13.5" customHeight="1">
      <c r="A42" s="1"/>
      <c r="B42" s="26"/>
      <c r="C42" s="18"/>
      <c r="D42" s="18"/>
      <c r="E42" s="271" t="str">
        <f>IF(AP51=1,"    Phase conductor constant"," ")</f>
        <v xml:space="preserve">    Phase conductor constant</v>
      </c>
      <c r="F42" s="272"/>
      <c r="G42" s="271"/>
      <c r="H42" s="18" t="s">
        <v>40</v>
      </c>
      <c r="I42" s="47">
        <f>IF($AP$51=1,AC52," ")</f>
        <v>0</v>
      </c>
      <c r="J42" s="70" t="str">
        <f>IF(AP51=1,J21," ")</f>
        <v>Phase Conductor</v>
      </c>
      <c r="K42" s="18"/>
      <c r="L42" s="22"/>
      <c r="M42" s="1"/>
      <c r="O42" s="24"/>
      <c r="P42" s="207"/>
      <c r="Q42" s="125">
        <v>1.5</v>
      </c>
      <c r="R42" s="207"/>
      <c r="S42" s="207"/>
      <c r="T42" s="207"/>
      <c r="U42" s="207"/>
      <c r="V42" s="207"/>
      <c r="W42" s="204" t="s">
        <v>80</v>
      </c>
      <c r="X42" s="207"/>
      <c r="Y42" s="207"/>
      <c r="Z42" s="206"/>
      <c r="AA42" s="55"/>
      <c r="AB42" s="55"/>
      <c r="AC42" s="55" t="s">
        <v>120</v>
      </c>
      <c r="AD42" s="55">
        <f>IF(U50=2,0,1)</f>
        <v>1</v>
      </c>
      <c r="AE42" s="55"/>
      <c r="AF42" s="55"/>
      <c r="AG42" s="55"/>
      <c r="AH42" s="55"/>
      <c r="AI42" s="55"/>
      <c r="AJ42" s="55"/>
      <c r="AK42" s="55"/>
      <c r="AL42" s="55"/>
      <c r="AM42" s="55"/>
      <c r="AN42" s="55"/>
      <c r="AO42" s="55"/>
      <c r="AP42" s="55"/>
      <c r="AQ42" s="55"/>
      <c r="AR42" s="55"/>
      <c r="BC42" s="165" t="b">
        <v>0</v>
      </c>
      <c r="BD42" s="173" t="s">
        <v>152</v>
      </c>
      <c r="BE42" s="34">
        <f>TABLES!G78</f>
        <v>617.80336013202736</v>
      </c>
      <c r="BF42" s="35">
        <f>TABLES!P78</f>
        <v>375.20113533886172</v>
      </c>
      <c r="BG42" s="165">
        <f>IF(18,BF42,BE42)</f>
        <v>375.20113533886172</v>
      </c>
      <c r="BH42" s="172"/>
      <c r="BI42" s="165" t="b">
        <v>0</v>
      </c>
      <c r="BJ42" s="173" t="s">
        <v>152</v>
      </c>
      <c r="BK42" s="35">
        <f>TABLES!G103</f>
        <v>615.90087651318129</v>
      </c>
      <c r="BL42" s="35">
        <f>TABLES!P103</f>
        <v>374.77374009528887</v>
      </c>
      <c r="BM42" s="165">
        <f>IF(18,BL42,BK42)</f>
        <v>374.77374009528887</v>
      </c>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I42" s="2"/>
      <c r="IJ42" s="3"/>
      <c r="IK42" s="3"/>
      <c r="IL42" s="3"/>
      <c r="IM42" s="2"/>
      <c r="IN42" s="2"/>
      <c r="IO42" s="2"/>
      <c r="IP42" s="2"/>
      <c r="IQ42" s="2"/>
      <c r="IR42" s="2"/>
      <c r="IS42" s="2"/>
      <c r="IT42" s="2"/>
      <c r="IU42" s="2"/>
      <c r="IV42" s="2"/>
    </row>
    <row r="43" spans="1:256" ht="13.5" customHeight="1">
      <c r="A43" s="1"/>
      <c r="B43" s="26"/>
      <c r="C43" s="18"/>
      <c r="D43" s="18"/>
      <c r="E43" s="18"/>
      <c r="F43" s="18" t="str">
        <f>IF(AP51=1,"Volt Line to Line"," ")</f>
        <v>Volt Line to Line</v>
      </c>
      <c r="G43" s="18"/>
      <c r="H43" s="18" t="s">
        <v>44</v>
      </c>
      <c r="I43" s="73">
        <f>IF(AP51=1,$V$41," ")</f>
        <v>0</v>
      </c>
      <c r="J43" s="18" t="str">
        <f>IF(AP51=1,"Volt"," ")</f>
        <v>Volt</v>
      </c>
      <c r="K43" s="18"/>
      <c r="L43" s="22"/>
      <c r="M43" s="1"/>
      <c r="O43" s="24"/>
      <c r="P43" s="207"/>
      <c r="Q43" s="125">
        <v>1</v>
      </c>
      <c r="R43" s="207"/>
      <c r="S43" s="207"/>
      <c r="T43" s="207"/>
      <c r="U43" s="207"/>
      <c r="V43" s="207"/>
      <c r="W43" s="209" t="s">
        <v>81</v>
      </c>
      <c r="X43" s="207"/>
      <c r="Y43" s="207"/>
      <c r="Z43" s="206"/>
      <c r="AA43" s="55"/>
      <c r="AB43" s="55"/>
      <c r="AC43" s="55"/>
      <c r="AD43" s="55"/>
      <c r="AE43" s="55"/>
      <c r="AF43" s="55"/>
      <c r="AG43" s="55"/>
      <c r="AH43" s="55"/>
      <c r="AI43" s="55"/>
      <c r="AJ43" s="55"/>
      <c r="AK43" s="55"/>
      <c r="AL43" s="55"/>
      <c r="AM43" s="55"/>
      <c r="AN43" s="55"/>
      <c r="AO43" s="55"/>
      <c r="AP43" s="55"/>
      <c r="AQ43" s="55"/>
      <c r="AR43" s="55"/>
      <c r="BC43" s="165" t="b">
        <v>0</v>
      </c>
      <c r="BD43" s="171" t="s">
        <v>153</v>
      </c>
      <c r="BE43" s="34">
        <f>TABLES!G79</f>
        <v>968.98087537007325</v>
      </c>
      <c r="BF43" s="35">
        <f>TABLES!P79</f>
        <v>596.17362460806771</v>
      </c>
      <c r="BG43" s="165">
        <f>IF(AF49,BF43,BE43)</f>
        <v>596.17362460806771</v>
      </c>
      <c r="BH43" s="172"/>
      <c r="BI43" s="165" t="b">
        <v>0</v>
      </c>
      <c r="BJ43" s="171" t="s">
        <v>153</v>
      </c>
      <c r="BK43" s="35">
        <f>TABLES!G104</f>
        <v>962.6030220098927</v>
      </c>
      <c r="BL43" s="35">
        <f>TABLES!P104</f>
        <v>594.67905544369921</v>
      </c>
      <c r="BM43" s="165" t="e">
        <f>IF(BD49,BL43,BK43)</f>
        <v>#VALUE!</v>
      </c>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I43" s="2"/>
      <c r="IJ43" s="3"/>
      <c r="IK43" s="3"/>
      <c r="IL43" s="3"/>
      <c r="IM43" s="2"/>
      <c r="IN43" s="2"/>
      <c r="IO43" s="2"/>
      <c r="IP43" s="2"/>
      <c r="IQ43" s="2"/>
      <c r="IR43" s="2"/>
      <c r="IS43" s="2"/>
      <c r="IT43" s="2"/>
      <c r="IU43" s="2"/>
      <c r="IV43" s="2"/>
    </row>
    <row r="44" spans="1:256" ht="13.5" customHeight="1">
      <c r="A44" s="1"/>
      <c r="B44" s="26"/>
      <c r="C44" s="18"/>
      <c r="D44" s="18"/>
      <c r="E44" s="18"/>
      <c r="F44" s="18"/>
      <c r="G44" s="18"/>
      <c r="H44" s="18" t="s">
        <v>47</v>
      </c>
      <c r="I44" s="49">
        <f>IF(I42=0,0,(V51*I39*AB19*I40)/(I41*I42*I43))</f>
        <v>0</v>
      </c>
      <c r="J44" s="18"/>
      <c r="K44" s="18"/>
      <c r="L44" s="22"/>
      <c r="M44" s="1"/>
      <c r="O44" s="24"/>
      <c r="P44" s="207"/>
      <c r="Q44" s="158">
        <v>1</v>
      </c>
      <c r="R44" s="207"/>
      <c r="S44" s="207"/>
      <c r="T44" s="207"/>
      <c r="U44" s="207"/>
      <c r="V44" s="207"/>
      <c r="W44" s="209" t="s">
        <v>114</v>
      </c>
      <c r="X44" s="207"/>
      <c r="Y44" s="207"/>
      <c r="Z44" s="206"/>
      <c r="AA44" s="55"/>
      <c r="AB44" s="55"/>
      <c r="AC44" s="55"/>
      <c r="AD44" s="55">
        <f>SUM(AD41:AD42)</f>
        <v>1</v>
      </c>
      <c r="AE44" s="55" t="s">
        <v>121</v>
      </c>
      <c r="AF44" s="55"/>
      <c r="AG44" s="55"/>
      <c r="AH44" s="55"/>
      <c r="AI44" s="55"/>
      <c r="AJ44" s="55"/>
      <c r="AK44" s="55"/>
      <c r="AL44" s="55"/>
      <c r="AM44" s="55"/>
      <c r="AN44" s="55"/>
      <c r="AO44" s="55"/>
      <c r="AP44" s="55"/>
      <c r="AQ44" s="55"/>
      <c r="AR44" s="55"/>
      <c r="BC44" s="165" t="b">
        <v>0</v>
      </c>
      <c r="BD44" s="171" t="s">
        <v>154</v>
      </c>
      <c r="BE44" s="34">
        <f>TABLES!G80</f>
        <v>1198.5583780099405</v>
      </c>
      <c r="BF44" s="35">
        <f>TABLES!P80</f>
        <v>758.13813010304034</v>
      </c>
      <c r="BG44" s="165">
        <f>IF(AF49,BF44,BE44)</f>
        <v>758.13813010304034</v>
      </c>
      <c r="BH44" s="172"/>
      <c r="BI44" s="165" t="b">
        <v>0</v>
      </c>
      <c r="BJ44" s="171" t="s">
        <v>154</v>
      </c>
      <c r="BK44" s="35">
        <f>TABLES!G105</f>
        <v>1186.7515719156543</v>
      </c>
      <c r="BL44" s="35">
        <f>TABLES!P105</f>
        <v>755.12333553174653</v>
      </c>
      <c r="BM44" s="165" t="e">
        <f>IF(BD49,BL44,BK44)</f>
        <v>#VALUE!</v>
      </c>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I44" s="2"/>
      <c r="IJ44" s="3"/>
      <c r="IK44" s="3"/>
      <c r="IL44" s="3"/>
      <c r="IM44" s="2"/>
      <c r="IN44" s="2"/>
      <c r="IO44" s="2"/>
      <c r="IP44" s="2"/>
      <c r="IQ44" s="2"/>
      <c r="IR44" s="2"/>
      <c r="IS44" s="2"/>
      <c r="IT44" s="2"/>
      <c r="IU44" s="2"/>
      <c r="IV44" s="2"/>
    </row>
    <row r="45" spans="1:256" ht="13.5" customHeight="1">
      <c r="A45" s="1"/>
      <c r="B45" s="26"/>
      <c r="C45" s="18"/>
      <c r="D45" s="18"/>
      <c r="E45" s="271" t="str">
        <f>IF(AP51=1,"   Neutral conductor constant"," ")</f>
        <v xml:space="preserve">   Neutral conductor constant</v>
      </c>
      <c r="F45" s="272"/>
      <c r="G45" s="271"/>
      <c r="H45" s="18" t="s">
        <v>40</v>
      </c>
      <c r="I45" s="47">
        <f>IF($AP$51=1,AC53," ")</f>
        <v>0</v>
      </c>
      <c r="J45" s="70" t="str">
        <f>IF(AP51=1,J24," ")</f>
        <v>Neutral Conductor</v>
      </c>
      <c r="K45" s="18"/>
      <c r="L45" s="22"/>
      <c r="M45" s="1"/>
      <c r="O45" s="24"/>
      <c r="P45" s="233" t="s">
        <v>205</v>
      </c>
      <c r="Q45" s="234"/>
      <c r="R45" s="235" t="s">
        <v>203</v>
      </c>
      <c r="S45" s="236" t="s">
        <v>204</v>
      </c>
      <c r="T45" s="207"/>
      <c r="U45" s="207"/>
      <c r="V45" s="233" t="s">
        <v>206</v>
      </c>
      <c r="W45" s="234"/>
      <c r="X45" s="235" t="s">
        <v>203</v>
      </c>
      <c r="Y45" s="236" t="s">
        <v>204</v>
      </c>
      <c r="Z45" s="206"/>
      <c r="AA45" s="55"/>
      <c r="AB45" s="55"/>
      <c r="AC45" s="55"/>
      <c r="AD45" s="55"/>
      <c r="AE45" s="55"/>
      <c r="AF45" s="228"/>
      <c r="AG45" s="201"/>
      <c r="AH45" s="201"/>
      <c r="AI45" s="201"/>
      <c r="AJ45" s="201"/>
      <c r="AK45" s="201"/>
      <c r="AL45" s="201"/>
      <c r="AM45" s="201"/>
      <c r="AN45" s="201"/>
      <c r="AO45" s="201"/>
      <c r="AP45" s="201"/>
      <c r="AQ45" s="202"/>
      <c r="AR45" s="55"/>
      <c r="BC45" s="165" t="b">
        <v>0</v>
      </c>
      <c r="BD45" s="171" t="s">
        <v>155</v>
      </c>
      <c r="BE45" s="34">
        <f>TABLES!G81</f>
        <v>1568.8248180591133</v>
      </c>
      <c r="BF45" s="35">
        <f>TABLES!P81</f>
        <v>943.05888049523435</v>
      </c>
      <c r="BG45" s="165">
        <f>IF(AF49,BF45,BE45)</f>
        <v>943.05888049523435</v>
      </c>
      <c r="BH45" s="172"/>
      <c r="BI45" s="165" t="b">
        <v>0</v>
      </c>
      <c r="BJ45" s="171" t="s">
        <v>155</v>
      </c>
      <c r="BK45" s="35">
        <f>TABLES!G106</f>
        <v>1457.7677671445208</v>
      </c>
      <c r="BL45" s="35">
        <f>TABLES!P106</f>
        <v>937.62723842311334</v>
      </c>
      <c r="BM45" s="165" t="e">
        <f>IF(BD49,BL45,BK45)</f>
        <v>#VALUE!</v>
      </c>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I45" s="2"/>
      <c r="IJ45" s="3"/>
      <c r="IK45" s="3"/>
      <c r="IL45" s="3"/>
      <c r="IM45" s="2"/>
      <c r="IN45" s="2"/>
      <c r="IO45" s="2"/>
      <c r="IP45" s="2"/>
      <c r="IQ45" s="2"/>
      <c r="IR45" s="2"/>
      <c r="IS45" s="2"/>
      <c r="IT45" s="2"/>
      <c r="IU45" s="2"/>
      <c r="IV45" s="2"/>
    </row>
    <row r="46" spans="1:256" ht="13.5" customHeight="1">
      <c r="A46" s="1"/>
      <c r="B46" s="26"/>
      <c r="C46" s="18"/>
      <c r="D46" s="18"/>
      <c r="E46" s="18"/>
      <c r="F46" s="18" t="str">
        <f>IF(AP51=1,"Volt Line to Neutral"," ")</f>
        <v>Volt Line to Neutral</v>
      </c>
      <c r="G46" s="18"/>
      <c r="H46" s="18" t="s">
        <v>54</v>
      </c>
      <c r="I46" s="73">
        <f>IF(AP51=1,$V$40," ")</f>
        <v>0</v>
      </c>
      <c r="J46" s="18" t="str">
        <f>IF(AP51=1,"Volt"," ")</f>
        <v>Volt</v>
      </c>
      <c r="K46" s="18"/>
      <c r="L46" s="22"/>
      <c r="M46" s="1"/>
      <c r="O46" s="24"/>
      <c r="P46" s="211">
        <v>1</v>
      </c>
      <c r="Q46" s="212" t="s">
        <v>69</v>
      </c>
      <c r="R46" s="213">
        <f>CHOOSE($P$46,0,BE10,BE11,BE12,BE13,BE14,BE15,BE16,BE17,BE18,BE19,BE20,BE21,BE22,BE23,BE24,BE25,BE26,BE27,BE28,BE29,BE30)</f>
        <v>0</v>
      </c>
      <c r="S46" s="213">
        <f>CHOOSE($P$46,0,BF10,BF11,BF12,BF13,BF14,BF15,BF16,BF17,BF18,BF19,BF20,BF21,BF22,BF23,BF24,BF25,BF26,BF27,BF28,BF29,BF30)</f>
        <v>0</v>
      </c>
      <c r="T46" s="209">
        <f>IF(O40,S46,0)</f>
        <v>0</v>
      </c>
      <c r="U46" s="204">
        <v>1</v>
      </c>
      <c r="V46" s="212" t="s">
        <v>84</v>
      </c>
      <c r="W46" s="212"/>
      <c r="X46" s="213">
        <f>CHOOSE($P$46,0,BK10,BK11,BK12,BK13,BK14,BK15,BK16,BK17,BK18,BK19,BK20,BK21,BK22,BK23,BK24,BK25,BK26,BK27,BK28,BK29,BK30)</f>
        <v>0</v>
      </c>
      <c r="Y46" s="213">
        <f>CHOOSE($P$46,0,BL10,BL11,BL12,BL13,BL14,BL15,BL16,BL17,BL18,BL19,BL20,BL21,BL22,BL23,BL24,BL25,BL26,BL27,BL28,BL29,BL30)</f>
        <v>0</v>
      </c>
      <c r="Z46" s="206"/>
      <c r="AA46" s="55"/>
      <c r="AB46" s="55"/>
      <c r="AC46" s="55"/>
      <c r="AD46" s="55"/>
      <c r="AE46" s="55"/>
      <c r="AF46" s="223">
        <v>1</v>
      </c>
      <c r="AG46" s="212"/>
      <c r="AH46" s="212">
        <f>CHOOSE($AF$46,0,BE10,BE11,BE12,BE13,BE14,BE15,BE16,BE17,BE18,BE19,BE20,BE21,BE22,BE23,BE24,BE25,BE26,BE27,BE28,BE29,BE30)</f>
        <v>0</v>
      </c>
      <c r="AI46" s="212">
        <f>CHOOSE(AF46,0,BF10,BF11,BF12,BF13,BF14,BF15,BF16,BF17,BF18,BF19,BF20,BF21,BF22,BF23,BF24,BF25,BF26,BF27,BF28,BF29,BF30)</f>
        <v>0</v>
      </c>
      <c r="AJ46" s="224">
        <f>IF(O46,#REF!,0)</f>
        <v>0</v>
      </c>
      <c r="AK46" s="212"/>
      <c r="AL46" s="212"/>
      <c r="AM46" s="212"/>
      <c r="AN46" s="212">
        <f>CHOOSE(AF46,0,BK10,BK11,BK12,BK13,BK14,BK15,BK16,BK17,BK18,BK19,BK20,BK21,BK22,BK23,BK24,BK25,BK26,BK27,BK28,BK29,BK30)</f>
        <v>0</v>
      </c>
      <c r="AO46" s="212">
        <f>CHOOSE(AF46,0,BL10,BL11,BL12,BL13,BL14,BL15,BL16,BL17,BL18,BL19,BL20,BL21,BL22,BL23,BL24,BL25,BL26,BL27,BL28,BL29,BL30)</f>
        <v>0</v>
      </c>
      <c r="AP46" s="207"/>
      <c r="AQ46" s="206"/>
      <c r="AR46" s="55"/>
      <c r="BC46" s="165" t="b">
        <v>0</v>
      </c>
      <c r="BD46" s="171" t="s">
        <v>156</v>
      </c>
      <c r="BE46" s="34">
        <f>TABLES!G82</f>
        <v>1950.3110482205173</v>
      </c>
      <c r="BF46" s="35">
        <f>TABLES!P82</f>
        <v>1199.3468696113553</v>
      </c>
      <c r="BG46" s="165">
        <f>IF(AF49,BF46,BE46)</f>
        <v>1199.3468696113553</v>
      </c>
      <c r="BH46" s="172"/>
      <c r="BI46" s="165" t="b">
        <v>0</v>
      </c>
      <c r="BJ46" s="171" t="s">
        <v>156</v>
      </c>
      <c r="BK46" s="35">
        <f>TABLES!G107</f>
        <v>1809.6205796225743</v>
      </c>
      <c r="BL46" s="35">
        <f>TABLES!P107</f>
        <v>1188.9866774497884</v>
      </c>
      <c r="BM46" s="165" t="e">
        <f>IF(BD49,BL46,BK46)</f>
        <v>#VALUE!</v>
      </c>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I46" s="2"/>
      <c r="IJ46" s="3"/>
      <c r="IK46" s="3"/>
      <c r="IL46" s="3"/>
      <c r="IM46" s="2"/>
      <c r="IN46" s="2"/>
      <c r="IO46" s="2"/>
      <c r="IP46" s="2"/>
      <c r="IQ46" s="2"/>
      <c r="IR46" s="2"/>
      <c r="IS46" s="2"/>
      <c r="IT46" s="2"/>
      <c r="IU46" s="2"/>
      <c r="IV46" s="2"/>
    </row>
    <row r="47" spans="1:256" ht="13.5" customHeight="1">
      <c r="A47" s="1"/>
      <c r="B47" s="43" t="s">
        <v>52</v>
      </c>
      <c r="C47" s="18"/>
      <c r="D47" s="18"/>
      <c r="E47" s="18"/>
      <c r="F47" s="18"/>
      <c r="G47" s="18"/>
      <c r="H47" s="18" t="s">
        <v>47</v>
      </c>
      <c r="I47" s="49">
        <f>IF(I45=0,0,(V51*I39*AB19*K40)/(I41*I45*I46))</f>
        <v>0</v>
      </c>
      <c r="J47" s="18"/>
      <c r="K47" s="18"/>
      <c r="L47" s="22"/>
      <c r="M47" s="1"/>
      <c r="O47" s="24"/>
      <c r="P47" s="207"/>
      <c r="Q47" s="207"/>
      <c r="R47" s="214">
        <f>SUM(R46+R48)/2</f>
        <v>0</v>
      </c>
      <c r="S47" s="214">
        <f>SUM(S46+S48)/2</f>
        <v>0</v>
      </c>
      <c r="T47" s="215">
        <f>IF(O41,S47,0)</f>
        <v>0</v>
      </c>
      <c r="U47" s="204"/>
      <c r="V47" s="204" t="str">
        <f>CHOOSE(U34,"Select Voltage","2 x L x I x (1.5N)","2 x L x I x (1.5N)","    2 x L x I","    1.732 x L x I","   1.732 x L x I","   1.732 x L x I","   1.732 x L x I","2 x L x I x (1.5N)","   1.732 x L x I","   1.732 x L x I")</f>
        <v>Select Voltage</v>
      </c>
      <c r="W47" s="207"/>
      <c r="X47" s="214">
        <f>SUM(X46+X48)/2</f>
        <v>0</v>
      </c>
      <c r="Y47" s="214">
        <f>SUM(Y46+Y48)/2</f>
        <v>0</v>
      </c>
      <c r="Z47" s="206"/>
      <c r="AA47" s="55"/>
      <c r="AB47" s="56"/>
      <c r="AC47" s="55"/>
      <c r="AD47" s="55"/>
      <c r="AE47" s="55"/>
      <c r="AF47" s="225"/>
      <c r="AG47" s="207"/>
      <c r="AH47" s="214">
        <f>SUM(AH46+AH49)/2</f>
        <v>0</v>
      </c>
      <c r="AI47" s="214">
        <f>SUM(AI46+AI49)/2</f>
        <v>0</v>
      </c>
      <c r="AJ47" s="208">
        <f>IF(O47,#REF!,0)</f>
        <v>0</v>
      </c>
      <c r="AK47" s="207"/>
      <c r="AL47" s="207"/>
      <c r="AM47" s="207"/>
      <c r="AN47" s="214">
        <f>SUM(AN46+AN49)/2</f>
        <v>0</v>
      </c>
      <c r="AO47" s="214">
        <f>SUM(AO46+AO49)/2</f>
        <v>0</v>
      </c>
      <c r="AP47" s="207"/>
      <c r="AQ47" s="206"/>
      <c r="AR47" s="55"/>
      <c r="BC47" s="165" t="b">
        <v>0</v>
      </c>
      <c r="BD47" s="173" t="s">
        <v>157</v>
      </c>
      <c r="BE47" s="34">
        <f>TABLES!G83</f>
        <v>2405.3755747163791</v>
      </c>
      <c r="BF47" s="35">
        <f>TABLES!P83</f>
        <v>1480.3269112272608</v>
      </c>
      <c r="BG47" s="165">
        <f>IF(AF49,BF47,BE47)</f>
        <v>1480.3269112272608</v>
      </c>
      <c r="BH47" s="172"/>
      <c r="BI47" s="165" t="b">
        <v>0</v>
      </c>
      <c r="BJ47" s="173" t="s">
        <v>157</v>
      </c>
      <c r="BK47" s="35">
        <f>TABLES!G108</f>
        <v>2328.100985898594</v>
      </c>
      <c r="BL47" s="35">
        <f>TABLES!P108</f>
        <v>1461.7633655117154</v>
      </c>
      <c r="BM47" s="165" t="e">
        <f>IF(BD49,BL47,BK47)</f>
        <v>#VALUE!</v>
      </c>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I47" s="2"/>
      <c r="IJ47" s="3"/>
      <c r="IK47" s="3"/>
      <c r="IL47" s="3"/>
      <c r="IM47" s="2"/>
      <c r="IN47" s="2"/>
      <c r="IO47" s="2"/>
      <c r="IP47" s="2"/>
      <c r="IQ47" s="2"/>
      <c r="IR47" s="2"/>
      <c r="IS47" s="2"/>
      <c r="IT47" s="2"/>
      <c r="IU47" s="2"/>
      <c r="IV47" s="2"/>
    </row>
    <row r="48" spans="1:256" ht="13.5" customHeight="1">
      <c r="A48" s="1"/>
      <c r="B48" s="26"/>
      <c r="C48" s="18"/>
      <c r="D48" s="18"/>
      <c r="E48" s="18"/>
      <c r="F48" s="18"/>
      <c r="G48" s="18"/>
      <c r="H48" s="18"/>
      <c r="I48" s="18"/>
      <c r="J48" s="18"/>
      <c r="K48" s="18"/>
      <c r="L48" s="22"/>
      <c r="M48" s="1"/>
      <c r="O48" s="24"/>
      <c r="P48" s="216">
        <v>1</v>
      </c>
      <c r="Q48" s="217" t="s">
        <v>85</v>
      </c>
      <c r="R48" s="218">
        <f>CHOOSE($P$48,0,BE10,BE11,BE12,BE13,BE14,BE15,BE16,BE17,BE18,BE19,BE20,BE21,BE22,BE23,BE24,BE25,BE26,BE27,BE28,BE29,BE30)</f>
        <v>0</v>
      </c>
      <c r="S48" s="218">
        <f>CHOOSE($P$48,0,BF10,BF11,BF12,BF13,BF14,BF15,BF16,BF17,BF18,BF19,BF20,BF21,BF22,BF23,BF24,BF25,BF26,BF27,BF28,BF29,BF30)</f>
        <v>0</v>
      </c>
      <c r="T48" s="209">
        <f>IF(O42,#REF!,0)</f>
        <v>0</v>
      </c>
      <c r="U48" s="204"/>
      <c r="V48" s="216" t="s">
        <v>86</v>
      </c>
      <c r="W48" s="217" t="b">
        <v>1</v>
      </c>
      <c r="X48" s="218">
        <f>CHOOSE($P$48,0,BK10,BK11,BK12,BK13,BK14,BK15,BK16,BK17,BK18,BK19,BK20,BK21,BK22,BK23,BK24,BK25,BK26,BK27,BK28,BK29,BK30)</f>
        <v>0</v>
      </c>
      <c r="Y48" s="218">
        <f>CHOOSE($P$48,0,BL10,BL11,BL12,BL13,BL14,BL15,BL16,BL17,BL18,BL19,BL20,BL21,BL22,BL23,BL24,BL25,BL26,BL27,BL28,BL29,BL30)</f>
        <v>0</v>
      </c>
      <c r="Z48" s="206"/>
      <c r="AA48" s="55"/>
      <c r="AB48" s="55"/>
      <c r="AC48" s="55"/>
      <c r="AD48" s="55"/>
      <c r="AE48" s="55"/>
      <c r="AF48" s="226"/>
      <c r="AG48" s="216"/>
      <c r="AH48" s="216"/>
      <c r="AI48" s="216"/>
      <c r="AJ48" s="227">
        <f>IF(O48,#REF!,0)</f>
        <v>0</v>
      </c>
      <c r="AK48" s="216"/>
      <c r="AL48" s="216"/>
      <c r="AM48" s="216"/>
      <c r="AN48" s="216"/>
      <c r="AO48" s="216"/>
      <c r="AP48" s="207"/>
      <c r="AQ48" s="206"/>
      <c r="AR48" s="55"/>
      <c r="BC48" s="165" t="b">
        <v>0</v>
      </c>
      <c r="BD48" s="173" t="s">
        <v>158</v>
      </c>
      <c r="BE48" s="34">
        <f>TABLES!G84</f>
        <v>2786.5966035917372</v>
      </c>
      <c r="BF48" s="35">
        <f>TABLES!P84</f>
        <v>1856.0543731520227</v>
      </c>
      <c r="BG48" s="165">
        <f>IF(AF49,BF48,BE48)</f>
        <v>1856.0543731520227</v>
      </c>
      <c r="BH48" s="172"/>
      <c r="BI48" s="165" t="b">
        <v>0</v>
      </c>
      <c r="BJ48" s="173" t="s">
        <v>158</v>
      </c>
      <c r="BK48" s="35">
        <f>TABLES!G109</f>
        <v>2670.4292818440308</v>
      </c>
      <c r="BL48" s="35">
        <f>TABLES!P109</f>
        <v>1820.5033116694358</v>
      </c>
      <c r="BM48" s="165" t="e">
        <f>IF(BD49,BL48,BK48)</f>
        <v>#VALUE!</v>
      </c>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I48" s="2"/>
      <c r="IJ48" s="3"/>
      <c r="IK48" s="3"/>
      <c r="IL48" s="3"/>
      <c r="IM48" s="2"/>
      <c r="IN48" s="2"/>
      <c r="IO48" s="2"/>
      <c r="IP48" s="2"/>
      <c r="IQ48" s="2"/>
      <c r="IR48" s="2"/>
      <c r="IS48" s="2"/>
      <c r="IT48" s="2"/>
      <c r="IU48" s="2"/>
      <c r="IV48" s="2"/>
    </row>
    <row r="49" spans="1:256" ht="13.5" customHeight="1">
      <c r="A49" s="1"/>
      <c r="B49" s="26"/>
      <c r="C49" s="31" t="s">
        <v>57</v>
      </c>
      <c r="D49" s="31"/>
      <c r="E49" s="31"/>
      <c r="F49" s="18" t="str">
        <f>IF(AP51=1,"Line to Line"," ")</f>
        <v>Line to Line</v>
      </c>
      <c r="G49" s="19"/>
      <c r="H49" s="18" t="s">
        <v>61</v>
      </c>
      <c r="I49" s="49">
        <f>1/(1+I44)</f>
        <v>1</v>
      </c>
      <c r="J49" s="18"/>
      <c r="K49" s="18"/>
      <c r="L49" s="22"/>
      <c r="M49" s="1"/>
      <c r="O49" s="24"/>
      <c r="P49" s="207"/>
      <c r="Q49" s="207" t="b">
        <v>1</v>
      </c>
      <c r="R49" s="207"/>
      <c r="S49" s="207"/>
      <c r="T49" s="219">
        <f>IF(O43,#REF!,0)</f>
        <v>0</v>
      </c>
      <c r="U49" s="207"/>
      <c r="V49" s="207"/>
      <c r="W49" s="207" t="b">
        <v>1</v>
      </c>
      <c r="X49" s="207"/>
      <c r="Y49" s="207"/>
      <c r="Z49" s="206"/>
      <c r="AA49" s="55"/>
      <c r="AB49" s="64"/>
      <c r="AC49" s="55"/>
      <c r="AD49" s="55"/>
      <c r="AE49" s="55"/>
      <c r="AF49" s="226">
        <v>1</v>
      </c>
      <c r="AG49" s="217" t="b">
        <v>0</v>
      </c>
      <c r="AH49" s="216">
        <f>CHOOSE($AF$49,0,BE10,BE11,BE12,BE13,BE14,BE15,BE16,BE17,BE18,BE19,BE20,BE21,BE22,BE23,BE24,BE25,BE26,BE27,BE28,BE29,BE30)</f>
        <v>0</v>
      </c>
      <c r="AI49" s="216">
        <f>CHOOSE(AF49,0,BF10,BF11,BF12,BF13,BF14,BF15,BF16,BF17,BF18,BF19,BF20,BF21,BF22,BF23,BF24,BF25,BF26,BF27,BF28,BF29,BF30)</f>
        <v>0</v>
      </c>
      <c r="AJ49" s="227">
        <f>IF(O49,#REF!,0)</f>
        <v>0</v>
      </c>
      <c r="AK49" s="216"/>
      <c r="AL49" s="216" t="s">
        <v>2</v>
      </c>
      <c r="AM49" s="217" t="b">
        <v>0</v>
      </c>
      <c r="AN49" s="216">
        <f>CHOOSE(AF49,0,BK10,BK11,BK12,BK13,BK14,BK15,BK16,BK17,BK18,BK19,BK20,BK21,BK22,BK23,BK24,BK25,BK26,BK27,BK28,BK29,BK30)</f>
        <v>0</v>
      </c>
      <c r="AO49" s="216">
        <f>CHOOSE(AF49,0,BL10,BL11,BL12,BL13,BL14,BL15,BL16,BL17,BL18,BL19,BL20,BL21,BL22,BL23,BL24,BL25,BL26,BL27,BL28,BL29,BL30)</f>
        <v>0</v>
      </c>
      <c r="AP49" s="207"/>
      <c r="AQ49" s="206"/>
      <c r="AR49" s="55"/>
      <c r="BC49" s="165" t="b">
        <v>0</v>
      </c>
      <c r="BD49" s="173" t="s">
        <v>159</v>
      </c>
      <c r="BE49" s="34">
        <f>TABLES!G85</f>
        <v>3469.9429759461832</v>
      </c>
      <c r="BF49" s="35">
        <f>TABLES!P85</f>
        <v>2214.341163890344</v>
      </c>
      <c r="BG49" s="165">
        <f>IF(AF49,BF49,BE49)</f>
        <v>2214.341163890344</v>
      </c>
      <c r="BH49" s="172"/>
      <c r="BI49" s="165" t="b">
        <v>0</v>
      </c>
      <c r="BJ49" s="173" t="s">
        <v>159</v>
      </c>
      <c r="BK49" s="35">
        <f>TABLES!G110</f>
        <v>3204.9142089199795</v>
      </c>
      <c r="BL49" s="35">
        <f>TABLES!P110</f>
        <v>2155.7732815539471</v>
      </c>
      <c r="BM49" s="165" t="e">
        <f>IF(BD49,BL49,BK49)</f>
        <v>#VALUE!</v>
      </c>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I49" s="2"/>
      <c r="IJ49" s="3"/>
      <c r="IK49" s="3"/>
      <c r="IL49" s="3"/>
      <c r="IM49" s="2"/>
      <c r="IN49" s="2"/>
      <c r="IO49" s="2"/>
      <c r="IP49" s="2"/>
      <c r="IQ49" s="2"/>
      <c r="IR49" s="2"/>
      <c r="IS49" s="2"/>
      <c r="IT49" s="2"/>
      <c r="IU49" s="2"/>
      <c r="IV49" s="2"/>
    </row>
    <row r="50" spans="1:256" ht="13.5" customHeight="1" thickBot="1">
      <c r="A50" s="1"/>
      <c r="B50" s="26"/>
      <c r="C50" s="31" t="s">
        <v>59</v>
      </c>
      <c r="D50" s="31"/>
      <c r="E50" s="31"/>
      <c r="F50" s="19" t="str">
        <f>IF(AP51=1,"Line to Neutral"," ")</f>
        <v>Line to Neutral</v>
      </c>
      <c r="G50" s="18"/>
      <c r="H50" s="18" t="s">
        <v>61</v>
      </c>
      <c r="I50" s="49">
        <f>1/(1+I47)</f>
        <v>1</v>
      </c>
      <c r="J50" s="18" t="s">
        <v>2</v>
      </c>
      <c r="K50" s="18"/>
      <c r="L50" s="22"/>
      <c r="M50" s="1"/>
      <c r="O50" s="24"/>
      <c r="P50" s="207"/>
      <c r="Q50" s="207"/>
      <c r="R50" s="207"/>
      <c r="S50" s="207"/>
      <c r="T50" s="219">
        <f>IF(O44,#REF!,0)</f>
        <v>0</v>
      </c>
      <c r="U50" s="207">
        <v>1</v>
      </c>
      <c r="V50" s="204" t="str">
        <f>CHOOSE(U50,"        2 x L x I","      1.732 x L x I")</f>
        <v xml:space="preserve">        2 x L x I</v>
      </c>
      <c r="W50" s="207" t="s">
        <v>87</v>
      </c>
      <c r="X50" s="207"/>
      <c r="Y50" s="207" t="str">
        <f>IF(U50=1,"Single Phase Feeder","Three Phase Feeder")</f>
        <v>Single Phase Feeder</v>
      </c>
      <c r="Z50" s="206"/>
      <c r="AA50" s="55"/>
      <c r="AB50" s="237" t="s">
        <v>211</v>
      </c>
      <c r="AC50" s="201"/>
      <c r="AD50" s="202"/>
      <c r="AE50" s="55"/>
      <c r="AF50" s="225"/>
      <c r="AG50" s="207"/>
      <c r="AH50" s="207"/>
      <c r="AI50" s="207"/>
      <c r="AJ50" s="219">
        <f>IF(O50,AI50,0)</f>
        <v>0</v>
      </c>
      <c r="AK50" s="207"/>
      <c r="AL50" s="207"/>
      <c r="AM50" s="207"/>
      <c r="AN50" s="207"/>
      <c r="AO50" s="207"/>
      <c r="AP50" s="207"/>
      <c r="AQ50" s="206"/>
      <c r="AR50" s="55"/>
      <c r="BC50" s="165" t="b">
        <v>0</v>
      </c>
      <c r="BD50" s="173" t="s">
        <v>160</v>
      </c>
      <c r="BE50" s="34">
        <f>TABLES!G86</f>
        <v>4101.8759296950921</v>
      </c>
      <c r="BF50" s="35">
        <f>TABLES!P86</f>
        <v>2804.6877460778082</v>
      </c>
      <c r="BG50" s="165">
        <f>IF(AF49,BF50,BE50)</f>
        <v>2804.6877460778082</v>
      </c>
      <c r="BH50" s="172"/>
      <c r="BI50" s="165" t="b">
        <v>0</v>
      </c>
      <c r="BJ50" s="173" t="s">
        <v>160</v>
      </c>
      <c r="BK50" s="35">
        <f>TABLES!G111</f>
        <v>3759.8767743139383</v>
      </c>
      <c r="BL50" s="35">
        <f>TABLES!P111</f>
        <v>2703.7990597362491</v>
      </c>
      <c r="BM50" s="165" t="e">
        <f>IF(BD49,BL50,BK50)</f>
        <v>#VALUE!</v>
      </c>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I50" s="2"/>
      <c r="IJ50" s="3"/>
      <c r="IK50" s="3"/>
      <c r="IL50" s="3"/>
      <c r="IM50" s="2"/>
      <c r="IN50" s="2"/>
      <c r="IO50" s="2"/>
      <c r="IP50" s="2"/>
      <c r="IQ50" s="2"/>
      <c r="IR50" s="2"/>
      <c r="IS50" s="2"/>
      <c r="IT50" s="2"/>
      <c r="IU50" s="2"/>
      <c r="IV50" s="2"/>
    </row>
    <row r="51" spans="1:256" ht="13.5" customHeight="1" thickBot="1">
      <c r="A51" s="1"/>
      <c r="B51" s="26"/>
      <c r="C51" s="18"/>
      <c r="D51" s="18"/>
      <c r="E51" s="18"/>
      <c r="F51" s="18"/>
      <c r="G51" s="18"/>
      <c r="H51" s="18"/>
      <c r="I51" s="18"/>
      <c r="J51" s="18"/>
      <c r="K51" s="19"/>
      <c r="L51" s="22"/>
      <c r="M51" s="1"/>
      <c r="O51" s="38"/>
      <c r="P51" s="220"/>
      <c r="Q51" s="220"/>
      <c r="R51" s="220"/>
      <c r="S51" s="220"/>
      <c r="T51" s="221"/>
      <c r="U51" s="220"/>
      <c r="V51" s="220">
        <f>CHOOSE(U50,2,1.732)</f>
        <v>2</v>
      </c>
      <c r="W51" s="220" t="s">
        <v>88</v>
      </c>
      <c r="X51" s="220"/>
      <c r="Y51" s="220"/>
      <c r="Z51" s="222"/>
      <c r="AA51" s="55"/>
      <c r="AB51" s="225"/>
      <c r="AC51" s="207"/>
      <c r="AD51" s="206"/>
      <c r="AE51" s="55"/>
      <c r="AF51" s="225">
        <v>1</v>
      </c>
      <c r="AG51" s="207"/>
      <c r="AH51" s="204" t="s">
        <v>70</v>
      </c>
      <c r="AI51" s="204">
        <f>IF(AF51=2,AH49,0)</f>
        <v>0</v>
      </c>
      <c r="AJ51" s="204">
        <f>IF(AF51=2,AH47,0)</f>
        <v>0</v>
      </c>
      <c r="AK51" s="207"/>
      <c r="AL51" s="207"/>
      <c r="AM51" s="96" t="str">
        <f>IF(AD44&lt;0,"Error Check Above Selection",Y50)</f>
        <v>Single Phase Feeder</v>
      </c>
      <c r="AN51" s="97"/>
      <c r="AO51" s="97"/>
      <c r="AP51" s="98">
        <f>IF(AM51="Error Check Above Selection",0,1)</f>
        <v>1</v>
      </c>
      <c r="AQ51" s="206"/>
      <c r="AR51" s="55"/>
      <c r="BC51" s="165" t="b">
        <v>0</v>
      </c>
      <c r="BD51" s="171" t="s">
        <v>48</v>
      </c>
      <c r="BE51" s="34">
        <f>TABLES!G87</f>
        <v>4589.9576931779311</v>
      </c>
      <c r="BF51" s="35">
        <f>TABLES!P87</f>
        <v>3226.3772452168932</v>
      </c>
      <c r="BG51" s="165">
        <f>IF(AF49,BF51,BE51)</f>
        <v>3226.3772452168932</v>
      </c>
      <c r="BH51" s="172"/>
      <c r="BI51" s="165" t="b">
        <v>0</v>
      </c>
      <c r="BJ51" s="171" t="s">
        <v>48</v>
      </c>
      <c r="BK51" s="35">
        <f>TABLES!G112</f>
        <v>4063.2281925693283</v>
      </c>
      <c r="BL51" s="35">
        <f>TABLES!P112</f>
        <v>3032.1830654525361</v>
      </c>
      <c r="BM51" s="165" t="e">
        <f>IF(BD49,BL51,BK51)</f>
        <v>#VALUE!</v>
      </c>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I51" s="2"/>
      <c r="IJ51" s="3"/>
      <c r="IK51" s="3"/>
      <c r="IL51" s="3"/>
      <c r="IM51" s="2"/>
      <c r="IN51" s="2"/>
      <c r="IO51" s="2"/>
      <c r="IP51" s="2"/>
      <c r="IQ51" s="2"/>
      <c r="IR51" s="2"/>
      <c r="IS51" s="2"/>
      <c r="IT51" s="2"/>
      <c r="IU51" s="2"/>
      <c r="IV51" s="2"/>
    </row>
    <row r="52" spans="1:256" ht="13.5" customHeight="1">
      <c r="A52" s="1"/>
      <c r="B52" s="258" t="str">
        <f>IF(AP51=1," Isca  x  M  =  fault current at terminal of the panel L- L ="," ")</f>
        <v xml:space="preserve"> Isca  x  M  =  fault current at terminal of the panel L- L =</v>
      </c>
      <c r="C52" s="259"/>
      <c r="D52" s="259"/>
      <c r="E52" s="259"/>
      <c r="F52" s="259"/>
      <c r="G52" s="259"/>
      <c r="H52" s="18"/>
      <c r="I52" s="18"/>
      <c r="J52" s="52" t="str">
        <f>IF(I39=0," ",I40*I49)</f>
        <v xml:space="preserve"> </v>
      </c>
      <c r="K52" s="31" t="s">
        <v>27</v>
      </c>
      <c r="L52" s="22"/>
      <c r="M52" s="1"/>
      <c r="O52" s="14"/>
      <c r="P52" s="201"/>
      <c r="Q52" s="201"/>
      <c r="R52" s="201"/>
      <c r="S52" s="201"/>
      <c r="T52" s="201"/>
      <c r="U52" s="201"/>
      <c r="V52" s="201"/>
      <c r="W52" s="201"/>
      <c r="X52" s="201"/>
      <c r="Y52" s="202"/>
      <c r="Z52" s="55"/>
      <c r="AA52" s="55"/>
      <c r="AB52" s="238" t="s">
        <v>201</v>
      </c>
      <c r="AC52" s="210">
        <f>IF($AA16=1,AI55,AI66)</f>
        <v>0</v>
      </c>
      <c r="AD52" s="206"/>
      <c r="AE52" s="55"/>
      <c r="AF52" s="225"/>
      <c r="AG52" s="207"/>
      <c r="AH52" s="204" t="s">
        <v>72</v>
      </c>
      <c r="AI52" s="204">
        <f>IF(AF51=3,AI49,0)</f>
        <v>0</v>
      </c>
      <c r="AJ52" s="204">
        <f>IF(AF51=3,AI47,0)</f>
        <v>0</v>
      </c>
      <c r="AK52" s="207"/>
      <c r="AL52" s="207"/>
      <c r="AM52" s="204" t="s">
        <v>2</v>
      </c>
      <c r="AN52" s="204"/>
      <c r="AO52" s="204"/>
      <c r="AP52" s="207"/>
      <c r="AQ52" s="206"/>
      <c r="AR52" s="55"/>
      <c r="BC52" s="165" t="b">
        <v>0</v>
      </c>
      <c r="BD52" s="171" t="s">
        <v>51</v>
      </c>
      <c r="BE52" s="34">
        <f>TABLES!G88</f>
        <v>5066.2305843061467</v>
      </c>
      <c r="BF52" s="35">
        <f>TABLES!P88</f>
        <v>3713.5482313642442</v>
      </c>
      <c r="BG52" s="165">
        <f>IF(AF49,BF52,BE52)</f>
        <v>3713.5482313642442</v>
      </c>
      <c r="BH52" s="172"/>
      <c r="BI52" s="165" t="b">
        <v>0</v>
      </c>
      <c r="BJ52" s="171" t="s">
        <v>51</v>
      </c>
      <c r="BK52" s="35">
        <f>TABLES!G113</f>
        <v>4481.4221199367757</v>
      </c>
      <c r="BL52" s="35">
        <f>TABLES!P113</f>
        <v>3458.8826397077828</v>
      </c>
      <c r="BM52" s="165" t="e">
        <f>IF(BD49,BL52,BK52)</f>
        <v>#VALUE!</v>
      </c>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I52" s="2"/>
      <c r="IJ52" s="3"/>
      <c r="IK52" s="3"/>
      <c r="IL52" s="3"/>
      <c r="IM52" s="2"/>
      <c r="IN52" s="2"/>
      <c r="IO52" s="2"/>
      <c r="IP52" s="2"/>
      <c r="IQ52" s="2"/>
      <c r="IR52" s="2"/>
      <c r="IS52" s="2"/>
      <c r="IT52" s="2"/>
      <c r="IU52" s="2"/>
      <c r="IV52" s="2"/>
    </row>
    <row r="53" spans="1:256" ht="13.5" customHeight="1">
      <c r="A53" s="1"/>
      <c r="B53" s="258" t="str">
        <f>IF(AP51=1," Isca  x  M  =  fault current at terminal of the panel L- N  ="," ")</f>
        <v xml:space="preserve"> Isca  x  M  =  fault current at terminal of the panel L- N  =</v>
      </c>
      <c r="C53" s="259"/>
      <c r="D53" s="259"/>
      <c r="E53" s="259"/>
      <c r="F53" s="259"/>
      <c r="G53" s="259"/>
      <c r="H53" s="18"/>
      <c r="I53" s="18"/>
      <c r="J53" s="52" t="str">
        <f>IF(I39=0," ",K40*I50)</f>
        <v xml:space="preserve"> </v>
      </c>
      <c r="K53" s="31" t="s">
        <v>27</v>
      </c>
      <c r="L53" s="22"/>
      <c r="M53" s="1"/>
      <c r="O53" s="24"/>
      <c r="P53" s="233" t="s">
        <v>215</v>
      </c>
      <c r="Q53" s="234"/>
      <c r="R53" s="235" t="s">
        <v>203</v>
      </c>
      <c r="S53" s="236" t="s">
        <v>204</v>
      </c>
      <c r="T53" s="207"/>
      <c r="U53" s="207"/>
      <c r="V53" s="233" t="s">
        <v>207</v>
      </c>
      <c r="W53" s="234"/>
      <c r="X53" s="235" t="s">
        <v>203</v>
      </c>
      <c r="Y53" s="236" t="s">
        <v>204</v>
      </c>
      <c r="Z53" s="55"/>
      <c r="AA53" s="55"/>
      <c r="AB53" s="239" t="s">
        <v>212</v>
      </c>
      <c r="AC53" s="240">
        <f>IF(AA16=1,AJ55,AJ66)</f>
        <v>0</v>
      </c>
      <c r="AD53" s="222"/>
      <c r="AE53" s="55"/>
      <c r="AF53" s="225"/>
      <c r="AG53" s="207"/>
      <c r="AH53" s="207" t="s">
        <v>74</v>
      </c>
      <c r="AI53" s="204">
        <f>IF(AF51=4,AN49,0)</f>
        <v>0</v>
      </c>
      <c r="AJ53" s="204">
        <f>IF(AF51=4,AN47,0)</f>
        <v>0</v>
      </c>
      <c r="AK53" s="207"/>
      <c r="AL53" s="207"/>
      <c r="AM53" s="204" t="s">
        <v>2</v>
      </c>
      <c r="AN53" s="204" t="s">
        <v>2</v>
      </c>
      <c r="AO53" s="204"/>
      <c r="AP53" s="207"/>
      <c r="AQ53" s="206"/>
      <c r="AR53" s="55"/>
      <c r="BC53" s="165" t="b">
        <v>0</v>
      </c>
      <c r="BD53" s="171" t="s">
        <v>55</v>
      </c>
      <c r="BE53" s="34">
        <f>TABLES!G89</f>
        <v>5522.7550662902922</v>
      </c>
      <c r="BF53" s="35">
        <f>TABLES!P89</f>
        <v>4182.6361918710363</v>
      </c>
      <c r="BG53" s="165">
        <f>IF(AF49,BF53,BE53)</f>
        <v>4182.6361918710363</v>
      </c>
      <c r="BH53" s="172"/>
      <c r="BI53" s="165" t="b">
        <v>0</v>
      </c>
      <c r="BJ53" s="171" t="s">
        <v>55</v>
      </c>
      <c r="BK53" s="35">
        <f>TABLES!G114</f>
        <v>4806.8035578358013</v>
      </c>
      <c r="BL53" s="35">
        <f>TABLES!P114</f>
        <v>3786.5479493105768</v>
      </c>
      <c r="BM53" s="165" t="e">
        <f>IF(BD49,BL53,BK53)</f>
        <v>#VALUE!</v>
      </c>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I53" s="2"/>
      <c r="IJ53" s="3"/>
      <c r="IK53" s="3"/>
      <c r="IL53" s="3"/>
      <c r="IM53" s="2"/>
      <c r="IN53" s="2"/>
      <c r="IO53" s="2"/>
      <c r="IP53" s="2"/>
      <c r="IQ53" s="2"/>
      <c r="IR53" s="2"/>
      <c r="IS53" s="2"/>
      <c r="IT53" s="2"/>
      <c r="IU53" s="2"/>
      <c r="IV53" s="2"/>
    </row>
    <row r="54" spans="1:256" ht="13.5" customHeight="1">
      <c r="A54" s="1"/>
      <c r="B54" s="26"/>
      <c r="C54" s="18"/>
      <c r="D54" s="18"/>
      <c r="E54" s="18"/>
      <c r="F54" s="18"/>
      <c r="G54" s="18"/>
      <c r="H54" s="18"/>
      <c r="I54" s="18"/>
      <c r="J54" s="18"/>
      <c r="K54" s="18"/>
      <c r="L54" s="22"/>
      <c r="M54" s="1"/>
      <c r="O54" s="24"/>
      <c r="P54" s="212">
        <f>P46</f>
        <v>1</v>
      </c>
      <c r="Q54" s="212" t="s">
        <v>69</v>
      </c>
      <c r="R54" s="213">
        <f>CHOOSE($P$54,0,BE38,BE39,BE40,BE41,BE42,BE43,BE44,BE45,BE46,BE47,BE48,BE49,BE50,BE51,BE52,BE53,BE54,BE55,BE56,BE57,BE58)</f>
        <v>0</v>
      </c>
      <c r="S54" s="213">
        <f>CHOOSE($P$54,0,BF38,BF39,BF40,BF41,BF42,BF43,BF44,BF45,BF46,BF47,BF48,BF49,BF50,BF51,BF52,BF53,BF54,BF55,BF56,BF57,BF58)</f>
        <v>0</v>
      </c>
      <c r="T54" s="209">
        <f>IF(O48,S54,0)</f>
        <v>0</v>
      </c>
      <c r="U54" s="204">
        <v>1</v>
      </c>
      <c r="V54" s="212" t="s">
        <v>84</v>
      </c>
      <c r="W54" s="212"/>
      <c r="X54" s="213">
        <f>CHOOSE($P$46,0,BK38,BK39,BK40,BK41,BK42,BK43,BK44,BK45,BK46,BK47,BK48,BK49,BK50,BK51,BK52,BK53,BK54,BK55,BK56,BK57,BK58)</f>
        <v>0</v>
      </c>
      <c r="Y54" s="230">
        <f>CHOOSE($P$46,0,BL38,BL39,BL40,BL41,BL42,BL43,BL44,BL45,BL46,BL47,BL48,BL49,BL50,BL51,BL52,BL53,BL54,BL55,BL56,BL57,BL58)</f>
        <v>0</v>
      </c>
      <c r="Z54" s="55"/>
      <c r="AA54" s="55"/>
      <c r="AB54" s="55"/>
      <c r="AC54" s="55"/>
      <c r="AD54" s="55"/>
      <c r="AE54" s="55"/>
      <c r="AF54" s="225"/>
      <c r="AG54" s="207"/>
      <c r="AH54" s="207" t="s">
        <v>78</v>
      </c>
      <c r="AI54" s="204">
        <f>IF(AF51=5,AO49,0)</f>
        <v>0</v>
      </c>
      <c r="AJ54" s="204">
        <f>IF(AF51=5,AO47,0)</f>
        <v>0</v>
      </c>
      <c r="AK54" s="207"/>
      <c r="AL54" s="207"/>
      <c r="AM54" s="204"/>
      <c r="AN54" s="208"/>
      <c r="AO54" s="208"/>
      <c r="AP54" s="207"/>
      <c r="AQ54" s="206"/>
      <c r="AR54" s="55"/>
      <c r="BC54" s="165"/>
      <c r="BD54" s="171" t="s">
        <v>56</v>
      </c>
      <c r="BE54" s="34">
        <f>TABLES!G90</f>
        <v>5890.0006405376043</v>
      </c>
      <c r="BF54" s="35">
        <f>TABLES!P90</f>
        <v>4541.2342844828181</v>
      </c>
      <c r="BG54" s="174"/>
      <c r="BH54" s="172"/>
      <c r="BI54" s="165"/>
      <c r="BJ54" s="171" t="s">
        <v>56</v>
      </c>
      <c r="BK54" s="35">
        <f>TABLES!G115</f>
        <v>5054.2451627747514</v>
      </c>
      <c r="BL54" s="35">
        <f>TABLES!P115</f>
        <v>4140.8311241990805</v>
      </c>
      <c r="BM54" s="174"/>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I54" s="2"/>
      <c r="IJ54" s="3"/>
      <c r="IK54" s="3"/>
      <c r="IL54" s="3"/>
      <c r="IM54" s="2"/>
      <c r="IN54" s="2"/>
      <c r="IO54" s="2"/>
      <c r="IP54" s="2"/>
      <c r="IQ54" s="2"/>
      <c r="IR54" s="2"/>
      <c r="IS54" s="2"/>
      <c r="IT54" s="2"/>
      <c r="IU54" s="2"/>
      <c r="IV54" s="2"/>
    </row>
    <row r="55" spans="1:256">
      <c r="A55" s="1"/>
      <c r="B55" s="26"/>
      <c r="C55" s="273" t="s">
        <v>91</v>
      </c>
      <c r="D55" s="249"/>
      <c r="E55" s="249"/>
      <c r="F55" s="249"/>
      <c r="G55" s="249"/>
      <c r="H55" s="249"/>
      <c r="I55" s="249"/>
      <c r="J55" s="249"/>
      <c r="K55" s="274"/>
      <c r="L55" s="22"/>
      <c r="M55" s="1"/>
      <c r="O55" s="24"/>
      <c r="P55" s="207"/>
      <c r="Q55" s="207"/>
      <c r="R55" s="214">
        <f>SUM(R54+R56)/2</f>
        <v>0</v>
      </c>
      <c r="S55" s="214">
        <f>SUM(S54+S56)/2</f>
        <v>0</v>
      </c>
      <c r="T55" s="215">
        <f>IF(O49,S55,0)</f>
        <v>0</v>
      </c>
      <c r="U55" s="204"/>
      <c r="V55" s="204" t="str">
        <f>CHOOSE(U34,"Select Voltage","2 x L x I x (1.5N)","2 x L x I x (1.5N)","    2 x L x I","    1.732 x L x I","   1.732 x L x I","   1.732 x L x I","   1.732 x L x I","2 x L x I x (1.5N)","   1.732 x L x I","   1.732 x L x I")</f>
        <v>Select Voltage</v>
      </c>
      <c r="W55" s="207"/>
      <c r="X55" s="214">
        <f>SUM(X54+X56)/2</f>
        <v>0</v>
      </c>
      <c r="Y55" s="231">
        <f>SUM(Y54+Y56)/2</f>
        <v>0</v>
      </c>
      <c r="Z55" s="55"/>
      <c r="AA55" s="55"/>
      <c r="AB55" s="55"/>
      <c r="AC55" s="55"/>
      <c r="AD55" s="55"/>
      <c r="AE55" s="55"/>
      <c r="AF55" s="225"/>
      <c r="AG55" s="207"/>
      <c r="AH55" s="207"/>
      <c r="AI55" s="214">
        <f>SUM(AI51:AI54)</f>
        <v>0</v>
      </c>
      <c r="AJ55" s="214">
        <f>SUM(AJ51:AJ54)</f>
        <v>0</v>
      </c>
      <c r="AK55" s="207"/>
      <c r="AL55" s="207"/>
      <c r="AM55" s="204"/>
      <c r="AN55" s="207"/>
      <c r="AO55" s="207"/>
      <c r="AP55" s="207"/>
      <c r="AQ55" s="206"/>
      <c r="AR55" s="55"/>
      <c r="BC55" s="175"/>
      <c r="BD55" s="171" t="s">
        <v>58</v>
      </c>
      <c r="BE55" s="34">
        <f>TABLES!G91</f>
        <v>6414.3431130955214</v>
      </c>
      <c r="BF55" s="35">
        <f>TABLES!P91</f>
        <v>5251.1709775891723</v>
      </c>
      <c r="BG55" s="175"/>
      <c r="BH55" s="164"/>
      <c r="BI55" s="175"/>
      <c r="BJ55" s="171" t="s">
        <v>58</v>
      </c>
      <c r="BK55" s="35">
        <f>TABLES!G116</f>
        <v>5449.4496742417587</v>
      </c>
      <c r="BL55" s="35">
        <f>TABLES!P116</f>
        <v>4634.7484015750551</v>
      </c>
      <c r="BM55" s="175"/>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I55" s="2"/>
      <c r="IJ55" s="3"/>
      <c r="IK55" s="3"/>
      <c r="IL55" s="3"/>
      <c r="IM55" s="2"/>
      <c r="IN55" s="2"/>
      <c r="IO55" s="2"/>
      <c r="IP55" s="2"/>
      <c r="IQ55" s="2"/>
      <c r="IR55" s="2"/>
      <c r="IS55" s="2"/>
      <c r="IT55" s="2"/>
      <c r="IU55" s="2"/>
      <c r="IV55" s="2"/>
    </row>
    <row r="56" spans="1:256" ht="13.5" customHeight="1">
      <c r="A56" s="1"/>
      <c r="B56" s="57"/>
      <c r="C56" s="58"/>
      <c r="D56" s="58"/>
      <c r="E56" s="58"/>
      <c r="F56" s="58"/>
      <c r="G56" s="58"/>
      <c r="H56" s="58"/>
      <c r="I56" s="58"/>
      <c r="J56" s="58"/>
      <c r="K56" s="58"/>
      <c r="L56" s="59"/>
      <c r="M56" s="1"/>
      <c r="O56" s="24"/>
      <c r="P56" s="216">
        <f>P48</f>
        <v>1</v>
      </c>
      <c r="Q56" s="217" t="s">
        <v>85</v>
      </c>
      <c r="R56" s="218">
        <f>CHOOSE($P$56,0,BE38,BE39,BE40,BE41,BE42,BE43,BE44,BE45,BE46,BE47,BE48,BE49,BE50,BE51,BE52,BE53,BE54,BE55,BE56,BE57,BE58)</f>
        <v>0</v>
      </c>
      <c r="S56" s="218">
        <f>CHOOSE($P$54,0,BF38,BF39,BF40,BF41,BF42,BF43,BF44,BF45,BF46,BF47,BF48,BF49,BF50,BF51,BF52,BF53,BF54,BF55,BF56,BF57,BF58)</f>
        <v>0</v>
      </c>
      <c r="T56" s="209">
        <f>IF(O50,#REF!,0)</f>
        <v>0</v>
      </c>
      <c r="U56" s="204"/>
      <c r="V56" s="216" t="s">
        <v>86</v>
      </c>
      <c r="W56" s="217" t="b">
        <v>1</v>
      </c>
      <c r="X56" s="218">
        <f>CHOOSE($P$48,0,BK38,BK39,BK40,BK41,BK42,BK43,BK44,BK45,BK46,BK47,BK48,BK49,BK50,BK51,BK52,BK53,BK54,BK55,BK56,BK57,BK58)</f>
        <v>0</v>
      </c>
      <c r="Y56" s="232">
        <f>CHOOSE($P$48,0,BL38,BL39,BL40,BL41,BL42,BL43,BL44,BL45,BL46,BL47,BL48,BL49,BL50,BL51,BL52,BL53,BL54,BL55,BL56,BL57,BL58)</f>
        <v>0</v>
      </c>
      <c r="Z56" s="55"/>
      <c r="AA56" s="55"/>
      <c r="AB56" s="55"/>
      <c r="AC56" s="55"/>
      <c r="AD56" s="55"/>
      <c r="AE56" s="55"/>
      <c r="AF56" s="225"/>
      <c r="AG56" s="207"/>
      <c r="AH56" s="207"/>
      <c r="AI56" s="207"/>
      <c r="AJ56" s="207"/>
      <c r="AK56" s="207"/>
      <c r="AL56" s="207"/>
      <c r="AM56" s="207"/>
      <c r="AN56" s="207"/>
      <c r="AO56" s="207"/>
      <c r="AP56" s="207"/>
      <c r="AQ56" s="206"/>
      <c r="AR56" s="55"/>
      <c r="BC56" s="175"/>
      <c r="BD56" s="171" t="s">
        <v>62</v>
      </c>
      <c r="BE56" s="34">
        <f>TABLES!G92</f>
        <v>6740.6200024311402</v>
      </c>
      <c r="BF56" s="35">
        <f>TABLES!P92</f>
        <v>5744.0916503327544</v>
      </c>
      <c r="BG56" s="175"/>
      <c r="BH56" s="164"/>
      <c r="BI56" s="175"/>
      <c r="BJ56" s="171" t="s">
        <v>62</v>
      </c>
      <c r="BK56" s="35">
        <f>TABLES!G117</f>
        <v>5645.7543166047853</v>
      </c>
      <c r="BL56" s="35">
        <f>TABLES!P117</f>
        <v>4982.9624804618406</v>
      </c>
      <c r="BM56" s="175"/>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I56" s="2"/>
      <c r="IJ56" s="3"/>
      <c r="IK56" s="3"/>
      <c r="IL56" s="3"/>
      <c r="IM56" s="2"/>
      <c r="IN56" s="2"/>
      <c r="IO56" s="2"/>
      <c r="IP56" s="2"/>
      <c r="IQ56" s="2"/>
      <c r="IR56" s="2"/>
      <c r="IS56" s="2"/>
      <c r="IT56" s="2"/>
      <c r="IU56" s="2"/>
      <c r="IV56" s="2"/>
    </row>
    <row r="57" spans="1:256" ht="13.5" customHeight="1">
      <c r="A57" s="1"/>
      <c r="B57" s="1"/>
      <c r="C57" s="1"/>
      <c r="D57" s="1"/>
      <c r="E57" s="1"/>
      <c r="F57" s="1"/>
      <c r="G57" s="1"/>
      <c r="H57" s="1"/>
      <c r="I57" s="1"/>
      <c r="J57" s="1"/>
      <c r="K57" s="1"/>
      <c r="L57" s="1"/>
      <c r="M57" s="1"/>
      <c r="O57" s="24"/>
      <c r="P57" s="207"/>
      <c r="Q57" s="207" t="b">
        <v>1</v>
      </c>
      <c r="R57" s="207"/>
      <c r="S57" s="207"/>
      <c r="T57" s="219">
        <f>IF(O51,#REF!,0)</f>
        <v>0</v>
      </c>
      <c r="U57" s="207"/>
      <c r="V57" s="207"/>
      <c r="W57" s="207" t="b">
        <v>1</v>
      </c>
      <c r="X57" s="207"/>
      <c r="Y57" s="206"/>
      <c r="Z57" s="55"/>
      <c r="AA57" s="56">
        <f>U58</f>
        <v>0</v>
      </c>
      <c r="AB57" s="55"/>
      <c r="AC57" s="55"/>
      <c r="AD57" s="55"/>
      <c r="AE57" s="55"/>
      <c r="AF57" s="233" t="s">
        <v>208</v>
      </c>
      <c r="AG57" s="234"/>
      <c r="AH57" s="235" t="s">
        <v>203</v>
      </c>
      <c r="AI57" s="236" t="s">
        <v>204</v>
      </c>
      <c r="AJ57" s="207"/>
      <c r="AK57" s="207"/>
      <c r="AL57" s="233" t="s">
        <v>207</v>
      </c>
      <c r="AM57" s="234"/>
      <c r="AN57" s="235" t="s">
        <v>203</v>
      </c>
      <c r="AO57" s="236" t="s">
        <v>204</v>
      </c>
      <c r="AP57" s="207"/>
      <c r="AQ57" s="206"/>
      <c r="AR57" s="55"/>
      <c r="BC57" s="175"/>
      <c r="BD57" s="171" t="s">
        <v>64</v>
      </c>
      <c r="BE57" s="34">
        <f>TABLES!G93</f>
        <v>7166.847731398665</v>
      </c>
      <c r="BF57" s="35">
        <f>TABLES!P93</f>
        <v>6369.29755298482</v>
      </c>
      <c r="BG57" s="175"/>
      <c r="BH57" s="164"/>
      <c r="BI57" s="175"/>
      <c r="BJ57" s="171" t="s">
        <v>64</v>
      </c>
      <c r="BK57" s="35">
        <f>TABLES!G118</f>
        <v>5831.1268312743241</v>
      </c>
      <c r="BL57" s="35">
        <f>TABLES!P118</f>
        <v>5341.1823299978369</v>
      </c>
      <c r="BM57" s="175"/>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I57" s="2"/>
      <c r="IJ57" s="3"/>
      <c r="IK57" s="3"/>
      <c r="IL57" s="3"/>
      <c r="IM57" s="2"/>
      <c r="IN57" s="2"/>
      <c r="IO57" s="2"/>
      <c r="IP57" s="2"/>
      <c r="IQ57" s="2"/>
      <c r="IR57" s="2"/>
      <c r="IS57" s="2"/>
      <c r="IT57" s="2"/>
      <c r="IU57" s="2"/>
      <c r="IV57" s="2"/>
    </row>
    <row r="58" spans="1:256" ht="12.75" customHeight="1">
      <c r="A58" s="5"/>
      <c r="B58" s="1"/>
      <c r="C58" s="1"/>
      <c r="D58" s="1"/>
      <c r="E58" s="1"/>
      <c r="F58" s="1"/>
      <c r="G58" s="1"/>
      <c r="H58" s="1"/>
      <c r="I58" s="1"/>
      <c r="J58" s="1"/>
      <c r="K58" s="1"/>
      <c r="L58" s="1"/>
      <c r="M58" s="1"/>
      <c r="O58" s="24"/>
      <c r="P58" s="207"/>
      <c r="Q58" s="207"/>
      <c r="R58" s="204" t="s">
        <v>70</v>
      </c>
      <c r="S58" s="204">
        <f>IF($P$34=2,R56,0)</f>
        <v>0</v>
      </c>
      <c r="T58" s="205">
        <f>IF($P$34=2,R55,0)</f>
        <v>0</v>
      </c>
      <c r="U58" s="207"/>
      <c r="V58" s="207"/>
      <c r="W58" s="207"/>
      <c r="X58" s="207"/>
      <c r="Y58" s="206"/>
      <c r="Z58" s="55">
        <f>IF(U58=1,1,0)</f>
        <v>0</v>
      </c>
      <c r="AA58" s="55">
        <f>IF(U68=2,0,-1)</f>
        <v>-1</v>
      </c>
      <c r="AB58" s="55"/>
      <c r="AC58" s="55"/>
      <c r="AD58" s="55"/>
      <c r="AE58" s="55"/>
      <c r="AF58" s="223">
        <f>AF46</f>
        <v>1</v>
      </c>
      <c r="AG58" s="212" t="s">
        <v>69</v>
      </c>
      <c r="AH58" s="213">
        <f>CHOOSE(AF58,0,BE38,BE39,BE40,BE41,BE42,BE43,BE44,BE45,BE46,BE47,BE48,BE49,BE50,BE51,BE52,BE53,BE54,BE55,BE56,BE57,BE58)</f>
        <v>0</v>
      </c>
      <c r="AI58" s="213">
        <f>CHOOSE(AF58,0,BF38,BF39,BF40,BF41,BF42,BF43,BF44,BF45,BF46,BF47,BF48,BF49,BF50,BF51,BF52,BF53,BF54,BF55,BF56,BF57,BF58)</f>
        <v>0</v>
      </c>
      <c r="AJ58" s="209">
        <f>IF(AE52,AI58,0)</f>
        <v>0</v>
      </c>
      <c r="AK58" s="204">
        <v>1</v>
      </c>
      <c r="AL58" s="212" t="s">
        <v>69</v>
      </c>
      <c r="AM58" s="212"/>
      <c r="AN58" s="213">
        <f>CHOOSE(AF58,0,BK38,BK39,BK40,BK41,BK42,BK43,BK44,BK45,BK46,BK47,BK48,BK49,BK50,BK51,BK52,BK53,BK54,BK55,BK56,BK57,BK58)</f>
        <v>0</v>
      </c>
      <c r="AO58" s="213">
        <f>CHOOSE(AF58,0,BL38,BL39,BL40,BL41,BL42,BL43,BL44,BL45,BL46,BL47,BL48,BL49,BL50,BL51,BL52,BL53,BL54,BL55,BL56,BL57,BL58)</f>
        <v>0</v>
      </c>
      <c r="AP58" s="207"/>
      <c r="AQ58" s="206"/>
      <c r="AR58" s="55"/>
      <c r="BC58" s="175"/>
      <c r="BD58" s="176" t="s">
        <v>66</v>
      </c>
      <c r="BE58" s="34">
        <f>TABLES!G94</f>
        <v>7660.1931342880998</v>
      </c>
      <c r="BF58" s="35">
        <f>TABLES!P94</f>
        <v>7024.5091225023561</v>
      </c>
      <c r="BG58" s="175"/>
      <c r="BH58" s="164"/>
      <c r="BI58" s="175"/>
      <c r="BJ58" s="176" t="s">
        <v>66</v>
      </c>
      <c r="BK58" s="35">
        <f>TABLES!G119</f>
        <v>6168.3753719656725</v>
      </c>
      <c r="BL58" s="35">
        <f>TABLES!P119</f>
        <v>5819.7596197932544</v>
      </c>
      <c r="BM58" s="175"/>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I58" s="2"/>
      <c r="IJ58" s="3"/>
      <c r="IK58" s="3"/>
      <c r="IL58" s="3"/>
      <c r="IM58" s="2"/>
      <c r="IN58" s="2"/>
      <c r="IO58" s="2"/>
      <c r="IP58" s="2"/>
      <c r="IQ58" s="2"/>
      <c r="IR58" s="2"/>
      <c r="IS58" s="2"/>
      <c r="IT58" s="2"/>
      <c r="IU58" s="2"/>
      <c r="IV58" s="2"/>
    </row>
    <row r="59" spans="1:256" ht="14.25" customHeight="1">
      <c r="A59" s="5"/>
      <c r="B59" s="6"/>
      <c r="C59" s="7"/>
      <c r="D59" s="7"/>
      <c r="E59" s="7"/>
      <c r="F59" s="7"/>
      <c r="G59" s="7"/>
      <c r="H59" s="7"/>
      <c r="I59" s="7"/>
      <c r="J59" s="7"/>
      <c r="K59" s="7"/>
      <c r="L59" s="61"/>
      <c r="M59" s="1"/>
      <c r="O59" s="24"/>
      <c r="P59" s="207"/>
      <c r="Q59" s="207"/>
      <c r="R59" s="204" t="s">
        <v>72</v>
      </c>
      <c r="S59" s="204">
        <f>IF($P$34=3,S56,0)</f>
        <v>0</v>
      </c>
      <c r="T59" s="205">
        <f>IF($P$34=3,S55,0)</f>
        <v>0</v>
      </c>
      <c r="U59" s="207"/>
      <c r="V59" s="207"/>
      <c r="W59" s="207"/>
      <c r="X59" s="207"/>
      <c r="Y59" s="206"/>
      <c r="Z59" s="55">
        <f>IF(U68=2,1,0)</f>
        <v>0</v>
      </c>
      <c r="AA59" s="55">
        <f>IF(U68=2,-1,0)</f>
        <v>0</v>
      </c>
      <c r="AB59" s="55"/>
      <c r="AC59" s="55"/>
      <c r="AD59" s="55"/>
      <c r="AE59" s="55"/>
      <c r="AF59" s="225"/>
      <c r="AG59" s="207"/>
      <c r="AH59" s="214">
        <f>SUM(AH58+AH60)/2</f>
        <v>0</v>
      </c>
      <c r="AI59" s="214">
        <f>SUM(AI58+AI60)/2</f>
        <v>0</v>
      </c>
      <c r="AJ59" s="215">
        <f>IF(AE53,AI59,0)</f>
        <v>0</v>
      </c>
      <c r="AK59" s="204"/>
      <c r="AL59" s="204" t="str">
        <f>CHOOSE(U34,"Select Voltage","2 x L x I x (1.5N)","2 x L x I x (1.5N)","    2 x L x I","    1.732 x L x I","   1.732 x L x I","   1.732 x L x I","   1.732 x L x I","2 x L x I x (1.5N)","   1.732 x L x I","   1.732 x L x I")</f>
        <v>Select Voltage</v>
      </c>
      <c r="AM59" s="207"/>
      <c r="AN59" s="214">
        <f>SUM(AN58+AN60)/2</f>
        <v>0</v>
      </c>
      <c r="AO59" s="214">
        <f>SUM(AO58+AO60)/2</f>
        <v>0</v>
      </c>
      <c r="AP59" s="207"/>
      <c r="AQ59" s="206"/>
      <c r="AR59" s="55"/>
      <c r="BC59" s="175"/>
      <c r="BD59" s="175"/>
      <c r="BE59" s="175"/>
      <c r="BF59" s="175"/>
      <c r="BG59" s="175"/>
      <c r="BH59" s="164"/>
      <c r="BI59" s="175"/>
      <c r="BJ59" s="175"/>
      <c r="BK59" s="175"/>
      <c r="BL59" s="175"/>
      <c r="BM59" s="175"/>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I59" s="2"/>
      <c r="IJ59" s="3"/>
      <c r="IK59" s="3"/>
      <c r="IL59" s="3"/>
      <c r="IM59" s="2"/>
      <c r="IN59" s="2"/>
      <c r="IO59" s="2"/>
      <c r="IP59" s="2"/>
      <c r="IQ59" s="2"/>
      <c r="IR59" s="2"/>
      <c r="IS59" s="2"/>
      <c r="IT59" s="2"/>
      <c r="IU59" s="2"/>
      <c r="IV59" s="2"/>
    </row>
    <row r="60" spans="1:256" ht="14.25" customHeight="1">
      <c r="A60" s="1"/>
      <c r="B60" s="43" t="s">
        <v>92</v>
      </c>
      <c r="C60" s="18"/>
      <c r="D60" s="76"/>
      <c r="E60" s="280"/>
      <c r="F60" s="295"/>
      <c r="G60" s="295"/>
      <c r="H60" s="295"/>
      <c r="I60" s="296"/>
      <c r="J60" s="18"/>
      <c r="K60" s="18"/>
      <c r="L60" s="22"/>
      <c r="M60" s="1"/>
      <c r="O60" s="24"/>
      <c r="P60" s="207"/>
      <c r="Q60" s="207"/>
      <c r="R60" s="207" t="s">
        <v>74</v>
      </c>
      <c r="S60" s="204">
        <f>IF($P$34=4,X56,0)</f>
        <v>0</v>
      </c>
      <c r="T60" s="205">
        <f>IF($P$34=4,X55,0)</f>
        <v>0</v>
      </c>
      <c r="U60" s="207"/>
      <c r="V60" s="207"/>
      <c r="W60" s="207"/>
      <c r="X60" s="207"/>
      <c r="Y60" s="206"/>
      <c r="Z60" s="55">
        <f>IF(U68=2,1,0)</f>
        <v>0</v>
      </c>
      <c r="AA60" s="55">
        <f>IF(U68=2,-1,0)</f>
        <v>0</v>
      </c>
      <c r="AB60" s="55"/>
      <c r="AC60" s="55"/>
      <c r="AD60" s="55"/>
      <c r="AE60" s="55"/>
      <c r="AF60" s="226">
        <f>AF49</f>
        <v>1</v>
      </c>
      <c r="AG60" s="217" t="s">
        <v>85</v>
      </c>
      <c r="AH60" s="218">
        <f>CHOOSE(AF60,0,BE38,BE39,BE40,BE41,BE42,BE43,BE44,BE45,BE46,BE47,BE48,BE49,BE50,BE51,BE52,BE53,BE54,BE55,BE56,BE57,BE58,)</f>
        <v>0</v>
      </c>
      <c r="AI60" s="218">
        <f>CHOOSE(AF60,0,BF38,BF39,BF40,BF41,BF42,BF43,BF44,BF45,BF46,BF47,BF48,BF49,BF50,BF51,BF52,BF53,BF54,BF55,BF56,BF57,BF58)</f>
        <v>0</v>
      </c>
      <c r="AJ60" s="209">
        <f>IF(AE54,#REF!,0)</f>
        <v>0</v>
      </c>
      <c r="AK60" s="204"/>
      <c r="AL60" s="217" t="s">
        <v>85</v>
      </c>
      <c r="AM60" s="217" t="b">
        <v>1</v>
      </c>
      <c r="AN60" s="218">
        <f>CHOOSE(AF60,0,BK38,BK39,BK40,BK41,BK42,BK43,BK44,BK45,BK46,BK47,BK48,BK49,BK50,BK51,BK52,BK53,BK54,BK55,BK56,BK57,BK58)</f>
        <v>0</v>
      </c>
      <c r="AO60" s="218">
        <f>CHOOSE(AF60,0,BL38,BL39,BL40,BL41,BL42,BL43,BL44,BL45,BL46,BL47,BL48,BL49,BL50,BL51,BL52,BL53,BL54,BL55,BL56,BL57,BL58)</f>
        <v>0</v>
      </c>
      <c r="AP60" s="207"/>
      <c r="AQ60" s="206"/>
      <c r="AR60" s="55"/>
      <c r="BC60" s="164"/>
      <c r="BD60" s="164"/>
      <c r="BE60" s="164"/>
      <c r="BF60" s="164"/>
      <c r="BG60" s="164"/>
      <c r="BH60" s="164"/>
      <c r="BI60" s="164"/>
      <c r="BJ60" s="164"/>
      <c r="BK60" s="164"/>
      <c r="BL60" s="164"/>
      <c r="BM60" s="164"/>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I60" s="2"/>
      <c r="IJ60" s="3"/>
      <c r="IK60" s="3"/>
      <c r="IL60" s="3"/>
      <c r="IM60" s="2"/>
      <c r="IN60" s="2"/>
      <c r="IO60" s="2"/>
      <c r="IP60" s="2"/>
      <c r="IQ60" s="2"/>
      <c r="IR60" s="2"/>
      <c r="IS60" s="2"/>
      <c r="IT60" s="2"/>
      <c r="IU60" s="2"/>
      <c r="IV60" s="2"/>
    </row>
    <row r="61" spans="1:256" ht="14.25" customHeight="1">
      <c r="A61" s="1"/>
      <c r="B61" s="26"/>
      <c r="C61" s="18"/>
      <c r="D61" s="18"/>
      <c r="E61" s="18"/>
      <c r="F61" s="18"/>
      <c r="G61" s="18"/>
      <c r="H61" s="18"/>
      <c r="I61" s="18"/>
      <c r="J61" s="18"/>
      <c r="K61" s="18"/>
      <c r="L61" s="22"/>
      <c r="M61" s="1"/>
      <c r="O61" s="24"/>
      <c r="P61" s="207"/>
      <c r="Q61" s="207"/>
      <c r="R61" s="207" t="s">
        <v>78</v>
      </c>
      <c r="S61" s="204">
        <f>IF($P$34=5,Y56,0)</f>
        <v>0</v>
      </c>
      <c r="T61" s="205">
        <f>IF($P$34=5,Y55,0)</f>
        <v>0</v>
      </c>
      <c r="U61" s="207"/>
      <c r="V61" s="207"/>
      <c r="W61" s="207"/>
      <c r="X61" s="207"/>
      <c r="Y61" s="206"/>
      <c r="Z61" s="55">
        <f>IF(U68=2,0,0)</f>
        <v>0</v>
      </c>
      <c r="AA61" s="55">
        <f>IF(U68=1,0,0)</f>
        <v>0</v>
      </c>
      <c r="AB61" s="55">
        <f>IF(SUM($U$50*$U$34=8),0,1)</f>
        <v>1</v>
      </c>
      <c r="AC61" s="55" t="b">
        <f>OR(AB61,AB63)</f>
        <v>1</v>
      </c>
      <c r="AD61" s="55">
        <f>IF(AC61,0,-1)</f>
        <v>0</v>
      </c>
      <c r="AE61" s="55"/>
      <c r="AF61" s="225"/>
      <c r="AG61" s="207" t="b">
        <v>1</v>
      </c>
      <c r="AH61" s="207"/>
      <c r="AI61" s="207"/>
      <c r="AJ61" s="219">
        <f>IF(AE55,#REF!,0)</f>
        <v>0</v>
      </c>
      <c r="AK61" s="207"/>
      <c r="AL61" s="207"/>
      <c r="AM61" s="207" t="b">
        <v>1</v>
      </c>
      <c r="AN61" s="207"/>
      <c r="AO61" s="207"/>
      <c r="AP61" s="207"/>
      <c r="AQ61" s="206"/>
      <c r="AR61" s="55"/>
      <c r="BC61" s="164"/>
      <c r="BD61" s="164"/>
      <c r="BE61" s="164"/>
      <c r="BF61" s="164"/>
      <c r="BG61" s="164"/>
      <c r="BH61" s="164"/>
      <c r="BI61" s="164"/>
      <c r="BJ61" s="164"/>
      <c r="BK61" s="164"/>
      <c r="BL61" s="164"/>
      <c r="BM61" s="164"/>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I61" s="2"/>
      <c r="IJ61" s="3"/>
      <c r="IK61" s="3"/>
      <c r="IL61" s="3"/>
      <c r="IM61" s="2"/>
      <c r="IN61" s="2"/>
      <c r="IO61" s="2"/>
      <c r="IP61" s="2"/>
      <c r="IQ61" s="2"/>
      <c r="IR61" s="2"/>
      <c r="IS61" s="2"/>
      <c r="IT61" s="2"/>
      <c r="IU61" s="2"/>
      <c r="IV61" s="2"/>
    </row>
    <row r="62" spans="1:256" ht="14.25" customHeight="1">
      <c r="A62" s="1"/>
      <c r="B62" s="283" t="str">
        <f>W74</f>
        <v>Error Single Phase Feeder</v>
      </c>
      <c r="C62" s="284"/>
      <c r="D62" s="284"/>
      <c r="E62" s="285"/>
      <c r="F62" s="278" t="str">
        <f>IF(Z74,"Length (distance)"," ")</f>
        <v xml:space="preserve"> </v>
      </c>
      <c r="G62" s="279"/>
      <c r="H62" s="18" t="s">
        <v>30</v>
      </c>
      <c r="I62" s="21"/>
      <c r="J62" s="18"/>
      <c r="K62" s="18"/>
      <c r="L62" s="22"/>
      <c r="M62" s="1"/>
      <c r="O62" s="24"/>
      <c r="P62" s="207"/>
      <c r="Q62" s="241" t="s">
        <v>209</v>
      </c>
      <c r="R62" s="207"/>
      <c r="S62" s="207">
        <f>SUM(S58:S61)</f>
        <v>0</v>
      </c>
      <c r="T62" s="210">
        <f>SUM(T58:T61)</f>
        <v>0</v>
      </c>
      <c r="U62" s="207"/>
      <c r="V62" s="207"/>
      <c r="W62" s="207"/>
      <c r="X62" s="207"/>
      <c r="Y62" s="206"/>
      <c r="Z62" s="55">
        <f>IF(U68=2,1,0)</f>
        <v>0</v>
      </c>
      <c r="AA62" s="55">
        <f>IF(U68=2,-1,0)</f>
        <v>0</v>
      </c>
      <c r="AB62" s="55"/>
      <c r="AC62" s="55"/>
      <c r="AD62" s="64">
        <f>IF(SUM(U68+U58=8),-1,0)</f>
        <v>0</v>
      </c>
      <c r="AE62" s="55"/>
      <c r="AF62" s="225"/>
      <c r="AG62" s="207"/>
      <c r="AH62" s="204" t="s">
        <v>70</v>
      </c>
      <c r="AI62" s="204">
        <f>IF(AF51=2,AH60,0)</f>
        <v>0</v>
      </c>
      <c r="AJ62" s="205">
        <f>IF(AF51=2,AH59,0)</f>
        <v>0</v>
      </c>
      <c r="AK62" s="207"/>
      <c r="AL62" s="207"/>
      <c r="AM62" s="207"/>
      <c r="AN62" s="207"/>
      <c r="AO62" s="207"/>
      <c r="AP62" s="207"/>
      <c r="AQ62" s="206"/>
      <c r="AR62" s="55"/>
      <c r="BC62" s="164"/>
      <c r="BD62" s="164"/>
      <c r="BE62" s="164"/>
      <c r="BF62" s="164"/>
      <c r="BG62" s="164"/>
      <c r="BH62" s="164"/>
      <c r="BI62" s="164"/>
      <c r="BJ62" s="164"/>
      <c r="BK62" s="164"/>
      <c r="BL62" s="164"/>
      <c r="BM62" s="164"/>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I62" s="2"/>
      <c r="IJ62" s="3"/>
      <c r="IK62" s="3"/>
      <c r="IL62" s="3"/>
      <c r="IM62" s="2"/>
      <c r="IN62" s="2"/>
      <c r="IO62" s="2"/>
      <c r="IP62" s="2"/>
      <c r="IQ62" s="2"/>
      <c r="IR62" s="2"/>
      <c r="IS62" s="2"/>
      <c r="IT62" s="2"/>
      <c r="IU62" s="2"/>
      <c r="IV62" s="2"/>
    </row>
    <row r="63" spans="1:256" ht="14.25" customHeight="1">
      <c r="A63" s="1"/>
      <c r="B63" s="269" t="s">
        <v>31</v>
      </c>
      <c r="C63" s="31" t="str">
        <f>V67</f>
        <v xml:space="preserve">      1.732 x L x I</v>
      </c>
      <c r="D63" s="31"/>
      <c r="E63" s="31"/>
      <c r="F63" s="18" t="str">
        <f>IF(Z74=1,"      (ASC)"," ")</f>
        <v xml:space="preserve"> </v>
      </c>
      <c r="G63" s="18"/>
      <c r="H63" s="18" t="s">
        <v>33</v>
      </c>
      <c r="I63" s="44" t="str">
        <f>IF(P74=1," ",J52)</f>
        <v xml:space="preserve"> </v>
      </c>
      <c r="J63" s="18" t="str">
        <f>IF(Z74=1," Phase"," ")</f>
        <v xml:space="preserve"> </v>
      </c>
      <c r="K63" s="44" t="str">
        <f>IF(Z74=1,J53," ")</f>
        <v xml:space="preserve"> </v>
      </c>
      <c r="L63" s="22" t="str">
        <f>IF(Z74=1," Neutral"," ")</f>
        <v xml:space="preserve"> </v>
      </c>
      <c r="M63" s="1"/>
      <c r="O63" s="24"/>
      <c r="P63" s="207"/>
      <c r="Q63" s="207"/>
      <c r="R63" s="207"/>
      <c r="S63" s="207"/>
      <c r="T63" s="207"/>
      <c r="U63" s="207"/>
      <c r="V63" s="207"/>
      <c r="W63" s="207"/>
      <c r="X63" s="207"/>
      <c r="Y63" s="206"/>
      <c r="Z63" s="55">
        <f>IF(U68=2,0,0)</f>
        <v>0</v>
      </c>
      <c r="AA63" s="55">
        <f>IF(U58=6,0,0)</f>
        <v>0</v>
      </c>
      <c r="AB63" s="55">
        <f>IF(SUM(U68*U58=8),0,1)</f>
        <v>1</v>
      </c>
      <c r="AC63" s="55"/>
      <c r="AD63" s="55">
        <f>IF(SUM(U58+U68=6),-1,0)</f>
        <v>0</v>
      </c>
      <c r="AE63" s="55"/>
      <c r="AF63" s="225"/>
      <c r="AG63" s="207"/>
      <c r="AH63" s="204" t="s">
        <v>72</v>
      </c>
      <c r="AI63" s="204">
        <f>IF(AF51=3,AI60,0)</f>
        <v>0</v>
      </c>
      <c r="AJ63" s="205">
        <f>IF(AF51=3,AI59,0)</f>
        <v>0</v>
      </c>
      <c r="AK63" s="207"/>
      <c r="AL63" s="207"/>
      <c r="AM63" s="207"/>
      <c r="AN63" s="207"/>
      <c r="AO63" s="207"/>
      <c r="AP63" s="207"/>
      <c r="AQ63" s="206"/>
      <c r="AR63" s="55"/>
      <c r="BC63" s="164"/>
      <c r="BD63" s="164"/>
      <c r="BE63" s="164"/>
      <c r="BF63" s="164"/>
      <c r="BG63" s="164"/>
      <c r="BH63" s="164"/>
      <c r="BI63" s="164"/>
      <c r="BJ63" s="164"/>
      <c r="BK63" s="164"/>
      <c r="BL63" s="164"/>
      <c r="BM63" s="164"/>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I63" s="2"/>
      <c r="IJ63" s="3"/>
      <c r="IK63" s="3"/>
      <c r="IL63" s="3"/>
      <c r="IM63" s="2"/>
      <c r="IN63" s="2"/>
      <c r="IO63" s="2"/>
      <c r="IP63" s="2"/>
      <c r="IQ63" s="2"/>
      <c r="IR63" s="2"/>
      <c r="IS63" s="2"/>
      <c r="IT63" s="2"/>
      <c r="IU63" s="2"/>
      <c r="IV63" s="2"/>
    </row>
    <row r="64" spans="1:256" ht="14.25" customHeight="1">
      <c r="A64" s="1"/>
      <c r="B64" s="270"/>
      <c r="C64" s="31" t="s">
        <v>35</v>
      </c>
      <c r="D64" s="31"/>
      <c r="E64" s="31"/>
      <c r="F64" s="45" t="str">
        <f>IF(Z74=1,"# conductors per phase"," ")</f>
        <v xml:space="preserve"> </v>
      </c>
      <c r="G64" s="18"/>
      <c r="H64" s="18" t="s">
        <v>37</v>
      </c>
      <c r="I64" s="21"/>
      <c r="J64" s="46"/>
      <c r="K64" s="18"/>
      <c r="L64" s="22"/>
      <c r="M64" s="1"/>
      <c r="O64" s="24"/>
      <c r="P64" s="207"/>
      <c r="Q64" s="207"/>
      <c r="R64" s="207"/>
      <c r="S64" s="207"/>
      <c r="T64" s="207"/>
      <c r="U64" s="207"/>
      <c r="V64" s="207"/>
      <c r="W64" s="207"/>
      <c r="X64" s="207"/>
      <c r="Y64" s="206"/>
      <c r="Z64" s="55">
        <f>SUM(Z58:Z63)</f>
        <v>0</v>
      </c>
      <c r="AA64" s="55">
        <f>SUM(AA58:AA63)</f>
        <v>-1</v>
      </c>
      <c r="AB64" s="55">
        <f>SUM(Z64:AA64)</f>
        <v>-1</v>
      </c>
      <c r="AC64" s="55"/>
      <c r="AD64" s="55"/>
      <c r="AE64" s="55"/>
      <c r="AF64" s="225"/>
      <c r="AG64" s="207"/>
      <c r="AH64" s="207" t="s">
        <v>74</v>
      </c>
      <c r="AI64" s="204">
        <f>IF(AF51=4,AN60,0)</f>
        <v>0</v>
      </c>
      <c r="AJ64" s="205">
        <f>IF(AF51=4,AN59,0)</f>
        <v>0</v>
      </c>
      <c r="AK64" s="207"/>
      <c r="AL64" s="207"/>
      <c r="AM64" s="207"/>
      <c r="AN64" s="207"/>
      <c r="AO64" s="207"/>
      <c r="AP64" s="207"/>
      <c r="AQ64" s="206"/>
      <c r="AR64" s="55"/>
      <c r="BC64" s="164"/>
      <c r="BD64" s="164"/>
      <c r="BE64" s="164"/>
      <c r="BF64" s="164"/>
      <c r="BG64" s="164"/>
      <c r="BH64" s="164"/>
      <c r="BI64" s="164"/>
      <c r="BJ64" s="164"/>
      <c r="BK64" s="164"/>
      <c r="BL64" s="164"/>
      <c r="BM64" s="164"/>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I64" s="2"/>
      <c r="IJ64" s="3"/>
      <c r="IK64" s="3"/>
      <c r="IL64" s="3"/>
      <c r="IM64" s="2"/>
      <c r="IN64" s="2"/>
      <c r="IO64" s="2"/>
      <c r="IP64" s="2"/>
      <c r="IQ64" s="2"/>
      <c r="IR64" s="2"/>
      <c r="IS64" s="2"/>
      <c r="IT64" s="2"/>
      <c r="IU64" s="2"/>
      <c r="IV64" s="2"/>
    </row>
    <row r="65" spans="1:256" ht="14.25" customHeight="1">
      <c r="A65" s="1"/>
      <c r="B65" s="26"/>
      <c r="C65" s="18"/>
      <c r="D65" s="18"/>
      <c r="E65" s="271" t="str">
        <f>IF(Z74=1,"    Phase conductor constant"," ")</f>
        <v xml:space="preserve"> </v>
      </c>
      <c r="F65" s="272"/>
      <c r="G65" s="271"/>
      <c r="H65" s="18" t="s">
        <v>40</v>
      </c>
      <c r="I65" s="47" t="str">
        <f>AD75</f>
        <v xml:space="preserve"> </v>
      </c>
      <c r="J65" s="70" t="str">
        <f>IF(Z74=1,J21," ")</f>
        <v xml:space="preserve"> </v>
      </c>
      <c r="K65" s="18"/>
      <c r="L65" s="22"/>
      <c r="M65" s="1"/>
      <c r="O65" s="38"/>
      <c r="P65" s="220"/>
      <c r="Q65" s="220"/>
      <c r="R65" s="220"/>
      <c r="S65" s="220"/>
      <c r="T65" s="220" t="s">
        <v>94</v>
      </c>
      <c r="U65" s="220">
        <f>U50</f>
        <v>1</v>
      </c>
      <c r="V65" s="220"/>
      <c r="W65" s="220"/>
      <c r="X65" s="220"/>
      <c r="Y65" s="222"/>
      <c r="Z65" s="55"/>
      <c r="AA65" s="55"/>
      <c r="AB65" s="56">
        <f>IF(U68=1,0,1)</f>
        <v>1</v>
      </c>
      <c r="AC65" s="55"/>
      <c r="AD65" s="55"/>
      <c r="AE65" s="55"/>
      <c r="AF65" s="225"/>
      <c r="AG65" s="207"/>
      <c r="AH65" s="207" t="s">
        <v>78</v>
      </c>
      <c r="AI65" s="204">
        <f>IF(AF51=5,AO60,0)</f>
        <v>0</v>
      </c>
      <c r="AJ65" s="205">
        <f>IF(AF51=5,AO59,0)</f>
        <v>0</v>
      </c>
      <c r="AK65" s="207"/>
      <c r="AL65" s="207"/>
      <c r="AM65" s="207"/>
      <c r="AN65" s="207"/>
      <c r="AO65" s="207"/>
      <c r="AP65" s="207"/>
      <c r="AQ65" s="206"/>
      <c r="AR65" s="55"/>
      <c r="BC65" s="164"/>
      <c r="BD65" s="164"/>
      <c r="BE65" s="164"/>
      <c r="BF65" s="164"/>
      <c r="BG65" s="164"/>
      <c r="BH65" s="164"/>
      <c r="BI65" s="164"/>
      <c r="BJ65" s="164"/>
      <c r="BK65" s="164"/>
      <c r="BL65" s="164"/>
      <c r="BM65" s="164"/>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I65" s="2"/>
      <c r="IJ65" s="3"/>
      <c r="IK65" s="3"/>
      <c r="IL65" s="3"/>
      <c r="IM65" s="2"/>
      <c r="IN65" s="2"/>
      <c r="IO65" s="2"/>
      <c r="IP65" s="2"/>
      <c r="IQ65" s="2"/>
      <c r="IR65" s="2"/>
      <c r="IS65" s="2"/>
      <c r="IT65" s="2"/>
      <c r="IU65" s="2"/>
      <c r="IV65" s="2"/>
    </row>
    <row r="66" spans="1:256" ht="14.25" customHeight="1">
      <c r="A66" s="1"/>
      <c r="B66" s="26"/>
      <c r="C66" s="18"/>
      <c r="D66" s="18"/>
      <c r="E66" s="18"/>
      <c r="F66" s="18" t="str">
        <f>IF(Z74=1,"Volt Line to Line"," ")</f>
        <v xml:space="preserve"> </v>
      </c>
      <c r="G66" s="18"/>
      <c r="H66" s="18" t="s">
        <v>44</v>
      </c>
      <c r="I66" s="73" t="str">
        <f>IF(Z74=1,$V$41," ")</f>
        <v xml:space="preserve"> </v>
      </c>
      <c r="J66" s="18" t="str">
        <f>IF(Z74=1,"Volt"," ")</f>
        <v xml:space="preserve"> </v>
      </c>
      <c r="K66" s="18"/>
      <c r="L66" s="22"/>
      <c r="M66" s="1"/>
      <c r="P66" s="55"/>
      <c r="Q66" s="55"/>
      <c r="R66" s="55"/>
      <c r="S66" s="55"/>
      <c r="T66" s="55"/>
      <c r="U66" s="55"/>
      <c r="V66" s="55"/>
      <c r="W66" s="55"/>
      <c r="X66" s="55"/>
      <c r="Y66" s="55"/>
      <c r="Z66" s="55"/>
      <c r="AA66" s="55"/>
      <c r="AB66" s="55">
        <f>AD61</f>
        <v>0</v>
      </c>
      <c r="AC66" s="55"/>
      <c r="AD66" s="55"/>
      <c r="AE66" s="55"/>
      <c r="AF66" s="225"/>
      <c r="AG66" s="241" t="s">
        <v>209</v>
      </c>
      <c r="AH66" s="207"/>
      <c r="AI66" s="207">
        <f>SUM(AI62:AI65)</f>
        <v>0</v>
      </c>
      <c r="AJ66" s="210">
        <f>SUM(AJ62:AJ65)</f>
        <v>0</v>
      </c>
      <c r="AK66" s="207"/>
      <c r="AL66" s="207"/>
      <c r="AM66" s="207"/>
      <c r="AN66" s="207"/>
      <c r="AO66" s="207"/>
      <c r="AP66" s="207"/>
      <c r="AQ66" s="206"/>
      <c r="AR66" s="55"/>
      <c r="BC66" s="164"/>
      <c r="BD66" s="164"/>
      <c r="BE66" s="164"/>
      <c r="BF66" s="164"/>
      <c r="BG66" s="164"/>
      <c r="BH66" s="164"/>
      <c r="BI66" s="164"/>
      <c r="BJ66" s="164"/>
      <c r="BK66" s="164"/>
      <c r="BL66" s="164"/>
      <c r="BM66" s="164"/>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I66" s="2"/>
      <c r="IJ66" s="3"/>
      <c r="IK66" s="3"/>
      <c r="IL66" s="3"/>
      <c r="IM66" s="2"/>
      <c r="IN66" s="2"/>
      <c r="IO66" s="2"/>
      <c r="IP66" s="2"/>
      <c r="IQ66" s="2"/>
      <c r="IR66" s="2"/>
      <c r="IS66" s="2"/>
      <c r="IT66" s="2"/>
      <c r="IU66" s="2"/>
      <c r="IV66" s="2"/>
    </row>
    <row r="67" spans="1:256" ht="14.25" customHeight="1">
      <c r="A67" s="1"/>
      <c r="B67" s="26"/>
      <c r="C67" s="18"/>
      <c r="D67" s="18"/>
      <c r="E67" s="18"/>
      <c r="F67" s="18"/>
      <c r="G67" s="18"/>
      <c r="H67" s="18" t="s">
        <v>47</v>
      </c>
      <c r="I67" s="49" t="str">
        <f>IF(I64=0," ",(V68*I62*AB19*I63)/(I64*I65*I66))</f>
        <v xml:space="preserve"> </v>
      </c>
      <c r="J67" s="18"/>
      <c r="K67" s="18"/>
      <c r="L67" s="22"/>
      <c r="M67" s="1"/>
      <c r="P67" s="228"/>
      <c r="Q67" s="201" t="s">
        <v>122</v>
      </c>
      <c r="R67" s="201"/>
      <c r="S67" s="201"/>
      <c r="T67" s="201" t="s">
        <v>95</v>
      </c>
      <c r="U67" s="201">
        <v>2</v>
      </c>
      <c r="V67" s="200" t="str">
        <f>CHOOSE(U67,"        2 x L x I","      1.732 x L x I")</f>
        <v xml:space="preserve">      1.732 x L x I</v>
      </c>
      <c r="W67" s="201" t="s">
        <v>87</v>
      </c>
      <c r="X67" s="201"/>
      <c r="Y67" s="201" t="str">
        <f>IF(U67=1,"Single Phase Branch","Three Phase Branch")</f>
        <v>Three Phase Branch</v>
      </c>
      <c r="Z67" s="201"/>
      <c r="AA67" s="201"/>
      <c r="AB67" s="229">
        <f>SUM(AD62:AD63)</f>
        <v>0</v>
      </c>
      <c r="AC67" s="201"/>
      <c r="AD67" s="201"/>
      <c r="AE67" s="201"/>
      <c r="AF67" s="242"/>
      <c r="AG67" s="243"/>
      <c r="AH67" s="243"/>
      <c r="AI67" s="243"/>
      <c r="AJ67" s="243"/>
      <c r="AK67" s="243"/>
      <c r="AL67" s="243"/>
      <c r="AM67" s="243"/>
      <c r="AN67" s="243"/>
      <c r="AO67" s="243"/>
      <c r="AP67" s="243"/>
      <c r="AQ67" s="244"/>
      <c r="AR67" s="202"/>
      <c r="BC67" s="164"/>
      <c r="BD67" s="164"/>
      <c r="BE67" s="164"/>
      <c r="BF67" s="164"/>
      <c r="BG67" s="164"/>
      <c r="BH67" s="164"/>
      <c r="BI67" s="164"/>
      <c r="BJ67" s="164"/>
      <c r="BK67" s="164"/>
      <c r="BL67" s="164"/>
      <c r="BM67" s="164"/>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I67" s="2"/>
      <c r="IJ67" s="3"/>
      <c r="IK67" s="3"/>
      <c r="IL67" s="3"/>
      <c r="IM67" s="2"/>
      <c r="IN67" s="2"/>
      <c r="IO67" s="2"/>
      <c r="IP67" s="2"/>
      <c r="IQ67" s="2"/>
      <c r="IR67" s="2"/>
      <c r="IS67" s="2"/>
      <c r="IT67" s="2"/>
      <c r="IU67" s="2"/>
      <c r="IV67" s="2"/>
    </row>
    <row r="68" spans="1:256" ht="14.25" customHeight="1">
      <c r="A68" s="1"/>
      <c r="B68" s="26"/>
      <c r="C68" s="18"/>
      <c r="D68" s="18"/>
      <c r="E68" s="271" t="str">
        <f>IF(Z74=1,"   Neutral conductor constant"," ")</f>
        <v xml:space="preserve"> </v>
      </c>
      <c r="F68" s="272"/>
      <c r="G68" s="271"/>
      <c r="H68" s="18" t="s">
        <v>40</v>
      </c>
      <c r="I68" s="47" t="str">
        <f>AD76</f>
        <v xml:space="preserve"> </v>
      </c>
      <c r="J68" s="70" t="str">
        <f>IF(Z74=1,J24," ")</f>
        <v xml:space="preserve"> </v>
      </c>
      <c r="K68" s="18"/>
      <c r="L68" s="22"/>
      <c r="M68" s="1"/>
      <c r="P68" s="225"/>
      <c r="Q68" s="207"/>
      <c r="R68" s="207"/>
      <c r="S68" s="207"/>
      <c r="T68" s="207"/>
      <c r="U68" s="207"/>
      <c r="V68" s="207">
        <f>CHOOSE(U67,2,1.732)</f>
        <v>1.732</v>
      </c>
      <c r="W68" s="207" t="s">
        <v>88</v>
      </c>
      <c r="X68" s="207"/>
      <c r="Y68" s="207"/>
      <c r="Z68" s="207"/>
      <c r="AA68" s="207"/>
      <c r="AB68" s="210">
        <f>SUM(AB64:AB67)</f>
        <v>0</v>
      </c>
      <c r="AC68" s="207"/>
      <c r="AD68" s="207"/>
      <c r="AE68" s="207"/>
      <c r="AF68" s="207"/>
      <c r="AG68" s="207"/>
      <c r="AH68" s="207"/>
      <c r="AI68" s="207"/>
      <c r="AJ68" s="207"/>
      <c r="AK68" s="207"/>
      <c r="AL68" s="207"/>
      <c r="AM68" s="207"/>
      <c r="AN68" s="207"/>
      <c r="AO68" s="207"/>
      <c r="AP68" s="207"/>
      <c r="AQ68" s="207"/>
      <c r="AR68" s="206"/>
      <c r="BC68" s="164"/>
      <c r="BD68" s="164"/>
      <c r="BE68" s="164"/>
      <c r="BF68" s="164"/>
      <c r="BG68" s="164"/>
      <c r="BH68" s="164"/>
      <c r="BI68" s="164"/>
      <c r="BJ68" s="164"/>
      <c r="BK68" s="164"/>
      <c r="BL68" s="164"/>
      <c r="BM68" s="164"/>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I68" s="2"/>
      <c r="IJ68" s="3"/>
      <c r="IK68" s="3"/>
      <c r="IL68" s="3"/>
      <c r="IM68" s="2"/>
      <c r="IN68" s="2"/>
      <c r="IO68" s="2"/>
      <c r="IP68" s="2"/>
      <c r="IQ68" s="2"/>
      <c r="IR68" s="2"/>
      <c r="IS68" s="2"/>
      <c r="IT68" s="2"/>
      <c r="IU68" s="2"/>
      <c r="IV68" s="2"/>
    </row>
    <row r="69" spans="1:256" ht="14.25" customHeight="1">
      <c r="A69" s="1"/>
      <c r="B69" s="26"/>
      <c r="C69" s="18"/>
      <c r="D69" s="18"/>
      <c r="E69" s="18"/>
      <c r="F69" s="18" t="str">
        <f>IF(Z74=1,"Volt Line to Neutral"," ")</f>
        <v xml:space="preserve"> </v>
      </c>
      <c r="G69" s="18"/>
      <c r="H69" s="18" t="s">
        <v>54</v>
      </c>
      <c r="I69" s="73" t="str">
        <f>IF(Z74=1,$V$40," ")</f>
        <v xml:space="preserve"> </v>
      </c>
      <c r="J69" s="18" t="str">
        <f>IF(Z74=1,"Volt"," ")</f>
        <v xml:space="preserve"> </v>
      </c>
      <c r="K69" s="18"/>
      <c r="L69" s="22"/>
      <c r="M69" s="1"/>
      <c r="P69" s="223">
        <v>1</v>
      </c>
      <c r="Q69" s="212"/>
      <c r="R69" s="212">
        <f>CHOOSE($P$69,0,BE10,BE11,BE12,BE13,BE14,BE15,BE16,BE17,BE18,BE19,BE20,BE21,BE22,BE23,BE24,BE25,BE26,BE27,BE28,BE29,BE30)</f>
        <v>0</v>
      </c>
      <c r="S69" s="212">
        <f>CHOOSE($P$69,0,BF10,BF11,BF12,BF13,BF14,BF15,BF16,BF17,BF18,BF19,BF20,BF21,BF22,BF23,BF24,BF25,BF26,BF27,BF28,BF29,BF30)</f>
        <v>0</v>
      </c>
      <c r="T69" s="224">
        <f>IF(O69,S69,0)</f>
        <v>0</v>
      </c>
      <c r="U69" s="212"/>
      <c r="V69" s="212"/>
      <c r="W69" s="212"/>
      <c r="X69" s="212">
        <f>CHOOSE($P$69,0,BK10,BK11,BK12,BK13,BK14,BK15,BK16,BK17,BK18,BK19,BK20,BK21,BK22,BK23,BK24,BK25,BK26,BK27,BK28,BK29,BK30)</f>
        <v>0</v>
      </c>
      <c r="Y69" s="212">
        <f>CHOOSE($P$69,0,BL10,BL11,BL12,BL13,BL14,BL15,BL16,BL17,BL18,BL19,BL20,BL21,BL22,BL23,BL24,BL25,BL26,BL27,BL28,BL29,BL30)</f>
        <v>0</v>
      </c>
      <c r="Z69" s="207"/>
      <c r="AA69" s="207"/>
      <c r="AB69" s="207"/>
      <c r="AC69" s="207"/>
      <c r="AD69" s="207"/>
      <c r="AE69" s="207"/>
      <c r="AF69" s="207"/>
      <c r="AG69" s="315" t="s">
        <v>214</v>
      </c>
      <c r="AH69" s="316"/>
      <c r="AI69" s="316"/>
      <c r="AJ69" s="316"/>
      <c r="AK69" s="316"/>
      <c r="AL69" s="316"/>
      <c r="AM69" s="316"/>
      <c r="AN69" s="316"/>
      <c r="AO69" s="207"/>
      <c r="AP69" s="207"/>
      <c r="AQ69" s="207"/>
      <c r="AR69" s="206"/>
      <c r="BC69" s="164"/>
      <c r="BD69" s="164"/>
      <c r="BE69" s="164"/>
      <c r="BF69" s="164"/>
      <c r="BG69" s="164"/>
      <c r="BH69" s="164"/>
      <c r="BI69" s="164"/>
      <c r="BJ69" s="164"/>
      <c r="BK69" s="164"/>
      <c r="BL69" s="164"/>
      <c r="BM69" s="164"/>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I69" s="2"/>
      <c r="IJ69" s="3"/>
      <c r="IK69" s="3"/>
      <c r="IL69" s="3"/>
      <c r="IM69" s="2"/>
      <c r="IN69" s="2"/>
      <c r="IO69" s="2"/>
      <c r="IP69" s="2"/>
      <c r="IQ69" s="2"/>
      <c r="IR69" s="2"/>
      <c r="IS69" s="2"/>
      <c r="IT69" s="2"/>
      <c r="IU69" s="2"/>
      <c r="IV69" s="2"/>
    </row>
    <row r="70" spans="1:256" ht="14.25" customHeight="1">
      <c r="A70" s="1"/>
      <c r="B70" s="43" t="s">
        <v>52</v>
      </c>
      <c r="C70" s="18"/>
      <c r="D70" s="18"/>
      <c r="E70" s="18"/>
      <c r="F70" s="18"/>
      <c r="G70" s="18"/>
      <c r="H70" s="18" t="s">
        <v>47</v>
      </c>
      <c r="I70" s="49" t="str">
        <f>IF(I64=0," ",(V68*I62*AB19*K63)/(I64*I68*I69))</f>
        <v xml:space="preserve"> </v>
      </c>
      <c r="J70" s="18"/>
      <c r="K70" s="18"/>
      <c r="L70" s="22"/>
      <c r="M70" s="1"/>
      <c r="P70" s="225"/>
      <c r="Q70" s="207"/>
      <c r="R70" s="214">
        <f>SUM(R69+R72)/2</f>
        <v>0</v>
      </c>
      <c r="S70" s="214">
        <f>SUM(S69+S72)/2</f>
        <v>0</v>
      </c>
      <c r="T70" s="208">
        <f>IF(O70,#REF!,0)</f>
        <v>0</v>
      </c>
      <c r="U70" s="207"/>
      <c r="V70" s="207"/>
      <c r="W70" s="207"/>
      <c r="X70" s="214">
        <f>SUM(X69+X72)/2</f>
        <v>0</v>
      </c>
      <c r="Y70" s="214">
        <f>SUM(Y69+Y72)/2</f>
        <v>0</v>
      </c>
      <c r="Z70" s="207"/>
      <c r="AA70" s="207"/>
      <c r="AB70" s="207"/>
      <c r="AC70" s="207"/>
      <c r="AD70" s="207"/>
      <c r="AE70" s="207"/>
      <c r="AF70" s="233" t="s">
        <v>208</v>
      </c>
      <c r="AG70" s="234"/>
      <c r="AH70" s="235" t="s">
        <v>203</v>
      </c>
      <c r="AI70" s="236" t="s">
        <v>204</v>
      </c>
      <c r="AJ70" s="207"/>
      <c r="AK70" s="207"/>
      <c r="AL70" s="233" t="s">
        <v>207</v>
      </c>
      <c r="AM70" s="234"/>
      <c r="AN70" s="235" t="s">
        <v>203</v>
      </c>
      <c r="AO70" s="236" t="s">
        <v>204</v>
      </c>
      <c r="AP70" s="207"/>
      <c r="AQ70" s="207"/>
      <c r="AR70" s="206"/>
      <c r="BC70" s="164"/>
      <c r="BD70" s="164"/>
      <c r="BE70" s="164"/>
      <c r="BF70" s="164"/>
      <c r="BG70" s="164"/>
      <c r="BH70" s="164"/>
      <c r="BI70" s="164"/>
      <c r="BJ70" s="164"/>
      <c r="BK70" s="164"/>
      <c r="BL70" s="164"/>
      <c r="BM70" s="164"/>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I70" s="2"/>
      <c r="IJ70" s="3"/>
      <c r="IK70" s="3"/>
      <c r="IL70" s="3"/>
      <c r="IM70" s="2"/>
      <c r="IN70" s="2"/>
      <c r="IO70" s="2"/>
      <c r="IP70" s="2"/>
      <c r="IQ70" s="2"/>
      <c r="IR70" s="2"/>
      <c r="IS70" s="2"/>
      <c r="IT70" s="2"/>
      <c r="IU70" s="2"/>
      <c r="IV70" s="2"/>
    </row>
    <row r="71" spans="1:256" ht="14.25" customHeight="1">
      <c r="A71" s="1"/>
      <c r="B71" s="26"/>
      <c r="C71" s="18"/>
      <c r="D71" s="18"/>
      <c r="E71" s="18"/>
      <c r="F71" s="18"/>
      <c r="G71" s="18"/>
      <c r="H71" s="18"/>
      <c r="I71" s="18"/>
      <c r="J71" s="18"/>
      <c r="K71" s="18"/>
      <c r="L71" s="22"/>
      <c r="M71" s="1"/>
      <c r="P71" s="226"/>
      <c r="Q71" s="216"/>
      <c r="R71" s="216"/>
      <c r="S71" s="216"/>
      <c r="T71" s="227">
        <f>IF(O71,#REF!,0)</f>
        <v>0</v>
      </c>
      <c r="U71" s="216"/>
      <c r="V71" s="216"/>
      <c r="W71" s="216"/>
      <c r="X71" s="216"/>
      <c r="Y71" s="216"/>
      <c r="Z71" s="207"/>
      <c r="AA71" s="207"/>
      <c r="AB71" s="207"/>
      <c r="AC71" s="207"/>
      <c r="AD71" s="207"/>
      <c r="AE71" s="207"/>
      <c r="AF71" s="212">
        <f>P69</f>
        <v>1</v>
      </c>
      <c r="AG71" s="212" t="s">
        <v>69</v>
      </c>
      <c r="AH71" s="213">
        <f>CHOOSE(AF71,0,BE38,BE39,BE40,BE41,BE42,BE43,BE44,BE45,BE46,BE47,BE48,BE49,BE50,BE51,BE52,BE53,BE54,BE55,BE56,BE57,BE58)</f>
        <v>0</v>
      </c>
      <c r="AI71" s="213">
        <f>CHOOSE(AF71,0,BF38,BF39,BF40,BF41,BF42,BF43,BF44,BF45,BF46,BF47,BF48,BF49,BF50,BF51,BF52,BF53,BF54,BF55,BF56,BF57,BF58)</f>
        <v>0</v>
      </c>
      <c r="AJ71" s="209">
        <f>IF(AE65,AI71,0)</f>
        <v>0</v>
      </c>
      <c r="AK71" s="204">
        <v>1</v>
      </c>
      <c r="AL71" s="212" t="s">
        <v>69</v>
      </c>
      <c r="AM71" s="212"/>
      <c r="AN71" s="213">
        <f>CHOOSE(AF71,0,BK38,BK39,BK40,BK41,BK42,BK43,BK44,BK45,BK46,BK47,BK48,BK49,BK50,BK51,BK52,BK53,BK54,BK55,BK56,BK57,BK58)</f>
        <v>0</v>
      </c>
      <c r="AO71" s="213">
        <f>CHOOSE(AF71,0,BL38,BL39,BL40,BL41,BL42,BL43,BL44,BL45,BL46,BL47,BL48,BL49,BL50,BL51,BL52,BL53,BL54,BL55,BL56,BL57,BL58)</f>
        <v>0</v>
      </c>
      <c r="AP71" s="207"/>
      <c r="AQ71" s="207"/>
      <c r="AR71" s="206"/>
      <c r="BC71" s="164"/>
      <c r="BD71" s="164"/>
      <c r="BE71" s="164"/>
      <c r="BF71" s="164"/>
      <c r="BG71" s="164"/>
      <c r="BH71" s="164"/>
      <c r="BI71" s="164"/>
      <c r="BJ71" s="164"/>
      <c r="BK71" s="164"/>
      <c r="BL71" s="164"/>
      <c r="BM71" s="164"/>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I71" s="2"/>
      <c r="IJ71" s="3"/>
      <c r="IK71" s="3"/>
      <c r="IL71" s="3"/>
      <c r="IM71" s="2"/>
      <c r="IN71" s="2"/>
      <c r="IO71" s="2"/>
      <c r="IP71" s="2"/>
      <c r="IQ71" s="2"/>
      <c r="IR71" s="2"/>
      <c r="IS71" s="2"/>
      <c r="IT71" s="2"/>
      <c r="IU71" s="2"/>
      <c r="IV71" s="2"/>
    </row>
    <row r="72" spans="1:256" ht="14.25" customHeight="1">
      <c r="A72" s="1"/>
      <c r="B72" s="26"/>
      <c r="C72" s="31" t="s">
        <v>57</v>
      </c>
      <c r="D72" s="31"/>
      <c r="E72" s="31"/>
      <c r="F72" s="18" t="str">
        <f>IF(Z74=1,"Line to Line"," ")</f>
        <v xml:space="preserve"> </v>
      </c>
      <c r="G72" s="19"/>
      <c r="H72" s="18" t="s">
        <v>61</v>
      </c>
      <c r="I72" s="49" t="str">
        <f>IF(I64=0," ",1/(1+I67))</f>
        <v xml:space="preserve"> </v>
      </c>
      <c r="J72" s="18"/>
      <c r="K72" s="18"/>
      <c r="L72" s="22"/>
      <c r="M72" s="1"/>
      <c r="P72" s="226">
        <v>1</v>
      </c>
      <c r="Q72" s="217" t="b">
        <v>0</v>
      </c>
      <c r="R72" s="216">
        <f>CHOOSE($P$72,0,BE10,BE11,BE12,BE13,BE14,BE15,BE16,BE17,BE18,BE19,BE20,BE21,BE22,BE23,BE24,BE25,BE26,BE27,BE28,BE29,BE30)</f>
        <v>0</v>
      </c>
      <c r="S72" s="216">
        <f>CHOOSE($P$72,0,BF10,BF11,BF12,BF13,BF14,BF15,BF16,BF17,BF18,BF19,BF20,BF21,BF22,BF23,BF24,BF25,BF26,BF27,BF28,BF29,BF30)</f>
        <v>0</v>
      </c>
      <c r="T72" s="227">
        <f>IF(O72,#REF!,0)</f>
        <v>0</v>
      </c>
      <c r="U72" s="216"/>
      <c r="V72" s="216" t="s">
        <v>2</v>
      </c>
      <c r="W72" s="217" t="b">
        <v>0</v>
      </c>
      <c r="X72" s="216">
        <f>CHOOSE($P$72,0,BK10,BK11,BK12,BK13,BK14,BK15,BK16,BK17,BK18,BK19,BK20,BK21,BK22,BK23,BK24,BK25,BK26,BK27,BK28,BK29,BK30)</f>
        <v>0</v>
      </c>
      <c r="Y72" s="216">
        <f>CHOOSE($P$72,0,BL10,BL11,BL12,BL13,BL14,BL15,BL16,BL17,BL18,BL19,BL20,BL21,BL22,BL23,BL24,BL25,BL26,BL27,BL28,BL29,BL30)</f>
        <v>0</v>
      </c>
      <c r="Z72" s="207"/>
      <c r="AA72" s="207"/>
      <c r="AB72" s="207"/>
      <c r="AC72" s="207"/>
      <c r="AD72" s="207"/>
      <c r="AE72" s="207"/>
      <c r="AF72" s="207"/>
      <c r="AG72" s="207"/>
      <c r="AH72" s="214">
        <f>SUM(AH71+AH73)/2</f>
        <v>0</v>
      </c>
      <c r="AI72" s="214">
        <f>SUM(AI71+AI73)/2</f>
        <v>0</v>
      </c>
      <c r="AJ72" s="215">
        <f>IF(AE66,AI72,0)</f>
        <v>0</v>
      </c>
      <c r="AK72" s="204"/>
      <c r="AL72" s="204" t="str">
        <f>CHOOSE(U34,"Select Voltage","2 x L x I x (1.5N)","2 x L x I x (1.5N)","    2 x L x I","    1.732 x L x I","   1.732 x L x I","   1.732 x L x I","   1.732 x L x I","2 x L x I x (1.5N)","   1.732 x L x I","   1.732 x L x I")</f>
        <v>Select Voltage</v>
      </c>
      <c r="AM72" s="207"/>
      <c r="AN72" s="214">
        <f>SUM(AN71+AN73)/2</f>
        <v>0</v>
      </c>
      <c r="AO72" s="214">
        <f>SUM(AO71+AO73)/2</f>
        <v>0</v>
      </c>
      <c r="AP72" s="207"/>
      <c r="AQ72" s="207"/>
      <c r="AR72" s="206"/>
      <c r="BC72" s="164"/>
      <c r="BD72" s="164"/>
      <c r="BE72" s="164"/>
      <c r="BF72" s="164"/>
      <c r="BG72" s="164"/>
      <c r="BH72" s="164"/>
      <c r="BI72" s="164"/>
      <c r="BJ72" s="164"/>
      <c r="BK72" s="164"/>
      <c r="BL72" s="164"/>
      <c r="BM72" s="164"/>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I72" s="2"/>
      <c r="IJ72" s="3"/>
      <c r="IK72" s="3"/>
      <c r="IL72" s="3"/>
      <c r="IM72" s="2"/>
      <c r="IN72" s="2"/>
      <c r="IO72" s="2"/>
      <c r="IP72" s="2"/>
      <c r="IQ72" s="2"/>
      <c r="IR72" s="2"/>
      <c r="IS72" s="2"/>
      <c r="IT72" s="2"/>
      <c r="IU72" s="2"/>
      <c r="IV72" s="2"/>
    </row>
    <row r="73" spans="1:256" ht="14.25" customHeight="1" thickBot="1">
      <c r="A73" s="1"/>
      <c r="B73" s="26"/>
      <c r="C73" s="31" t="s">
        <v>59</v>
      </c>
      <c r="D73" s="31"/>
      <c r="E73" s="31"/>
      <c r="F73" s="19" t="str">
        <f>IF(Z74=1,"Line to Neutral"," ")</f>
        <v xml:space="preserve"> </v>
      </c>
      <c r="G73" s="18"/>
      <c r="H73" s="18" t="s">
        <v>61</v>
      </c>
      <c r="I73" s="49" t="str">
        <f>IF(I64=0," ",1/(1+I70))</f>
        <v xml:space="preserve"> </v>
      </c>
      <c r="J73" s="18" t="s">
        <v>2</v>
      </c>
      <c r="K73" s="18"/>
      <c r="L73" s="22"/>
      <c r="M73" s="1"/>
      <c r="P73" s="225"/>
      <c r="Q73" s="207"/>
      <c r="R73" s="207"/>
      <c r="S73" s="207"/>
      <c r="T73" s="219">
        <f>IF(O73,S73,0)</f>
        <v>0</v>
      </c>
      <c r="U73" s="207"/>
      <c r="V73" s="207"/>
      <c r="W73" s="207"/>
      <c r="X73" s="207"/>
      <c r="Y73" s="207"/>
      <c r="Z73" s="207"/>
      <c r="AA73" s="207"/>
      <c r="AB73" s="237" t="s">
        <v>213</v>
      </c>
      <c r="AC73" s="201"/>
      <c r="AD73" s="202"/>
      <c r="AE73" s="207"/>
      <c r="AF73" s="216">
        <f>P72</f>
        <v>1</v>
      </c>
      <c r="AG73" s="217" t="s">
        <v>85</v>
      </c>
      <c r="AH73" s="218">
        <f>CHOOSE(AF73,0,BE38,BE39,BE40,BE41,BE42,BE43,BE44,BE45,BE46,BE47,BE48,BE49,BE50,BE51,BE52,BE53,BE54,BE55,BE56,BE57,BE58)</f>
        <v>0</v>
      </c>
      <c r="AI73" s="218">
        <f>CHOOSE(AF73,0,BF38,BF39,BF40,BF41,BF42,BF43,BF44,BF45,BF46,BF47,BF48,BF49,BF50,BF51,BF52,BF53,BF54,BF55,BF56,BF57,BF58)</f>
        <v>0</v>
      </c>
      <c r="AJ73" s="209">
        <f>IF(AE67,#REF!,0)</f>
        <v>0</v>
      </c>
      <c r="AK73" s="204"/>
      <c r="AL73" s="217" t="s">
        <v>85</v>
      </c>
      <c r="AM73" s="217" t="b">
        <v>1</v>
      </c>
      <c r="AN73" s="218">
        <f>CHOOSE(AF73,0,BK38,BK39,BK40,BK41,BK42,BK43,BK44,BK45,BK46,BK47,BK48,BK49,BK50,BK51,BK52,BK53,BK54,BK55,BK56,BK57,BK58)</f>
        <v>0</v>
      </c>
      <c r="AO73" s="218">
        <f>CHOOSE(AF73,0,BL38,BL39,BL40,BL41,BL42,BL43,BL44,BL45,BL46,BL47,BL48,BL49,BL50,BL51,BL52,BL53,BL54,BL55,BL56,BL57,BL58)</f>
        <v>0</v>
      </c>
      <c r="AP73" s="207"/>
      <c r="AQ73" s="207"/>
      <c r="AR73" s="206"/>
      <c r="BC73" s="164"/>
      <c r="BD73" s="164"/>
      <c r="BE73" s="164"/>
      <c r="BF73" s="164"/>
      <c r="BG73" s="164"/>
      <c r="BH73" s="164"/>
      <c r="BI73" s="164"/>
      <c r="BJ73" s="164"/>
      <c r="BK73" s="164"/>
      <c r="BL73" s="164"/>
      <c r="BM73" s="164"/>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I73" s="2"/>
      <c r="IJ73" s="3"/>
      <c r="IK73" s="3"/>
      <c r="IL73" s="3"/>
      <c r="IM73" s="2"/>
      <c r="IN73" s="2"/>
      <c r="IO73" s="2"/>
      <c r="IP73" s="2"/>
      <c r="IQ73" s="2"/>
      <c r="IR73" s="2"/>
      <c r="IS73" s="2"/>
      <c r="IT73" s="2"/>
      <c r="IU73" s="2"/>
      <c r="IV73" s="2"/>
    </row>
    <row r="74" spans="1:256" ht="14.25" customHeight="1" thickBot="1">
      <c r="A74" s="1"/>
      <c r="B74" s="26"/>
      <c r="C74" s="18"/>
      <c r="D74" s="18"/>
      <c r="E74" s="18"/>
      <c r="F74" s="18"/>
      <c r="G74" s="18"/>
      <c r="H74" s="18"/>
      <c r="I74" s="18"/>
      <c r="J74" s="18"/>
      <c r="K74" s="19"/>
      <c r="L74" s="22"/>
      <c r="M74" s="1"/>
      <c r="P74" s="225">
        <v>2</v>
      </c>
      <c r="Q74" s="207"/>
      <c r="R74" s="204" t="s">
        <v>70</v>
      </c>
      <c r="S74" s="204">
        <f>IF(P74=2,R72,0)</f>
        <v>0</v>
      </c>
      <c r="T74" s="204">
        <f>IF(P74=2,R70,0)</f>
        <v>0</v>
      </c>
      <c r="U74" s="207"/>
      <c r="V74" s="207"/>
      <c r="W74" s="96" t="str">
        <f>IF(Y80,Y67,"Error Single Phase Feeder")</f>
        <v>Error Single Phase Feeder</v>
      </c>
      <c r="X74" s="97"/>
      <c r="Y74" s="97"/>
      <c r="Z74" s="98">
        <f>IF(W74="Error Single Phase Feeder",0,1)</f>
        <v>0</v>
      </c>
      <c r="AA74" s="207"/>
      <c r="AB74" s="225"/>
      <c r="AC74" s="207"/>
      <c r="AD74" s="206"/>
      <c r="AE74" s="207"/>
      <c r="AF74" s="207"/>
      <c r="AG74" s="207" t="b">
        <v>1</v>
      </c>
      <c r="AH74" s="207"/>
      <c r="AI74" s="207"/>
      <c r="AJ74" s="219">
        <f>IF(AE68,#REF!,0)</f>
        <v>0</v>
      </c>
      <c r="AK74" s="207"/>
      <c r="AL74" s="207"/>
      <c r="AM74" s="207" t="b">
        <v>1</v>
      </c>
      <c r="AN74" s="207"/>
      <c r="AO74" s="207"/>
      <c r="AP74" s="207"/>
      <c r="AQ74" s="207"/>
      <c r="AR74" s="206"/>
      <c r="BC74" s="164"/>
      <c r="BD74" s="164"/>
      <c r="BE74" s="164"/>
      <c r="BF74" s="164"/>
      <c r="BG74" s="164"/>
      <c r="BH74" s="164"/>
      <c r="BI74" s="164"/>
      <c r="BJ74" s="164"/>
      <c r="BK74" s="164"/>
      <c r="BL74" s="164"/>
      <c r="BM74" s="164"/>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I74" s="2"/>
      <c r="IJ74" s="3"/>
      <c r="IK74" s="3"/>
      <c r="IL74" s="3"/>
      <c r="IM74" s="2"/>
      <c r="IN74" s="2"/>
      <c r="IO74" s="2"/>
      <c r="IP74" s="2"/>
      <c r="IQ74" s="2"/>
      <c r="IR74" s="2"/>
      <c r="IS74" s="2"/>
      <c r="IT74" s="2"/>
      <c r="IU74" s="2"/>
      <c r="IV74" s="2"/>
    </row>
    <row r="75" spans="1:256" ht="14.25" customHeight="1">
      <c r="A75" s="1"/>
      <c r="B75" s="258" t="str">
        <f>IF(Z74=1," Isca  x  M  =  fault current at terminal of the panel L- L ="," ")</f>
        <v xml:space="preserve"> </v>
      </c>
      <c r="C75" s="259"/>
      <c r="D75" s="259"/>
      <c r="E75" s="259"/>
      <c r="F75" s="259"/>
      <c r="G75" s="259"/>
      <c r="H75" s="18"/>
      <c r="I75" s="18"/>
      <c r="J75" s="52" t="str">
        <f>IF(I64=0," ",I63*I72)</f>
        <v xml:space="preserve"> </v>
      </c>
      <c r="K75" s="31" t="s">
        <v>27</v>
      </c>
      <c r="L75" s="22"/>
      <c r="M75" s="1"/>
      <c r="P75" s="225"/>
      <c r="Q75" s="207"/>
      <c r="R75" s="204" t="s">
        <v>72</v>
      </c>
      <c r="S75" s="204">
        <f>IF(P74=3,S72,0)</f>
        <v>0</v>
      </c>
      <c r="T75" s="204">
        <f>IF(P74=3,S70,0)</f>
        <v>0</v>
      </c>
      <c r="U75" s="207"/>
      <c r="V75" s="207"/>
      <c r="W75" s="204" t="s">
        <v>2</v>
      </c>
      <c r="X75" s="204"/>
      <c r="Y75" s="204"/>
      <c r="Z75" s="207"/>
      <c r="AA75" s="207"/>
      <c r="AB75" s="238" t="s">
        <v>201</v>
      </c>
      <c r="AC75" s="210">
        <f>IF($AA$16=1,S78,AI79)</f>
        <v>0</v>
      </c>
      <c r="AD75" s="206" t="str">
        <f>IF(P72=1," ",AC75)</f>
        <v xml:space="preserve"> </v>
      </c>
      <c r="AE75" s="207"/>
      <c r="AF75" s="207"/>
      <c r="AG75" s="207"/>
      <c r="AH75" s="204" t="s">
        <v>70</v>
      </c>
      <c r="AI75" s="204">
        <f>IF($P$74=2,AH73,0)</f>
        <v>0</v>
      </c>
      <c r="AJ75" s="205">
        <f>IF($P$74=2,AH72,0)</f>
        <v>0</v>
      </c>
      <c r="AK75" s="207"/>
      <c r="AL75" s="207"/>
      <c r="AM75" s="207"/>
      <c r="AN75" s="207"/>
      <c r="AO75" s="207"/>
      <c r="AP75" s="207"/>
      <c r="AQ75" s="207"/>
      <c r="AR75" s="206"/>
      <c r="BC75" s="164"/>
      <c r="BD75" s="164"/>
      <c r="BE75" s="164"/>
      <c r="BF75" s="164"/>
      <c r="BG75" s="164"/>
      <c r="BH75" s="164"/>
      <c r="BI75" s="164"/>
      <c r="BJ75" s="164"/>
      <c r="BK75" s="164"/>
      <c r="BL75" s="164"/>
      <c r="BM75" s="164"/>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I75" s="2"/>
      <c r="IJ75" s="3"/>
      <c r="IK75" s="3"/>
      <c r="IL75" s="3"/>
      <c r="IM75" s="2"/>
      <c r="IN75" s="2"/>
      <c r="IO75" s="2"/>
      <c r="IP75" s="2"/>
      <c r="IQ75" s="2"/>
      <c r="IR75" s="2"/>
      <c r="IS75" s="2"/>
      <c r="IT75" s="2"/>
      <c r="IU75" s="2"/>
      <c r="IV75" s="2"/>
    </row>
    <row r="76" spans="1:256" ht="14.25" customHeight="1">
      <c r="A76" s="1"/>
      <c r="B76" s="258" t="str">
        <f>IF(Z74=1," Isca  x  M  =  fault current at terminal of the panel L- N  ="," ")</f>
        <v xml:space="preserve"> </v>
      </c>
      <c r="C76" s="259"/>
      <c r="D76" s="259"/>
      <c r="E76" s="259"/>
      <c r="F76" s="259"/>
      <c r="G76" s="259"/>
      <c r="H76" s="18"/>
      <c r="I76" s="18"/>
      <c r="J76" s="52" t="str">
        <f>IF(I64=0," ",K63*I73)</f>
        <v xml:space="preserve"> </v>
      </c>
      <c r="K76" s="31" t="s">
        <v>27</v>
      </c>
      <c r="L76" s="22"/>
      <c r="M76" s="1"/>
      <c r="P76" s="225"/>
      <c r="Q76" s="207"/>
      <c r="R76" s="207" t="s">
        <v>74</v>
      </c>
      <c r="S76" s="204">
        <f>IF(P74=4,X72,0)</f>
        <v>0</v>
      </c>
      <c r="T76" s="204">
        <f>IF(P74=4,X70,0)</f>
        <v>0</v>
      </c>
      <c r="U76" s="207"/>
      <c r="V76" s="207"/>
      <c r="W76" s="204" t="b">
        <f>IF(U67=1,TRUE,FALSE)</f>
        <v>0</v>
      </c>
      <c r="X76" s="204" t="s">
        <v>2</v>
      </c>
      <c r="Y76" s="204">
        <f>SUM(Y78:Y79)</f>
        <v>0</v>
      </c>
      <c r="Z76" s="207"/>
      <c r="AA76" s="207"/>
      <c r="AB76" s="239" t="s">
        <v>212</v>
      </c>
      <c r="AC76" s="240">
        <f>IF($AA$16=1,T78,AJ79)</f>
        <v>0</v>
      </c>
      <c r="AD76" s="222" t="str">
        <f>IF(P69=1," ",AC76)</f>
        <v xml:space="preserve"> </v>
      </c>
      <c r="AE76" s="207"/>
      <c r="AF76" s="207"/>
      <c r="AG76" s="207"/>
      <c r="AH76" s="204" t="s">
        <v>72</v>
      </c>
      <c r="AI76" s="204">
        <f>IF($P$74=3,AI73,0)</f>
        <v>0</v>
      </c>
      <c r="AJ76" s="205">
        <f>IF($P$74=3,AI72,0)</f>
        <v>0</v>
      </c>
      <c r="AK76" s="207"/>
      <c r="AL76" s="207"/>
      <c r="AM76" s="207"/>
      <c r="AN76" s="207"/>
      <c r="AO76" s="207"/>
      <c r="AP76" s="207"/>
      <c r="AQ76" s="207"/>
      <c r="AR76" s="206"/>
      <c r="BC76" s="164"/>
      <c r="BD76" s="164"/>
      <c r="BE76" s="164"/>
      <c r="BF76" s="164"/>
      <c r="BG76" s="164"/>
      <c r="BH76" s="164"/>
      <c r="BI76" s="164"/>
      <c r="BJ76" s="164"/>
      <c r="BK76" s="164"/>
      <c r="BL76" s="164"/>
      <c r="BM76" s="164"/>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I76" s="2"/>
      <c r="IJ76" s="3"/>
      <c r="IK76" s="3"/>
      <c r="IL76" s="3"/>
      <c r="IM76" s="2"/>
      <c r="IN76" s="2"/>
      <c r="IO76" s="2"/>
      <c r="IP76" s="2"/>
      <c r="IQ76" s="2"/>
      <c r="IR76" s="2"/>
      <c r="IS76" s="2"/>
      <c r="IT76" s="2"/>
      <c r="IU76" s="2"/>
      <c r="IV76" s="2"/>
    </row>
    <row r="77" spans="1:256" ht="14.25" customHeight="1">
      <c r="A77" s="1"/>
      <c r="B77" s="26"/>
      <c r="C77" s="18"/>
      <c r="D77" s="18"/>
      <c r="E77" s="18"/>
      <c r="F77" s="18"/>
      <c r="G77" s="18"/>
      <c r="H77" s="18"/>
      <c r="I77" s="18"/>
      <c r="J77" s="18"/>
      <c r="K77" s="18"/>
      <c r="L77" s="22"/>
      <c r="M77" s="1"/>
      <c r="P77" s="225"/>
      <c r="Q77" s="207"/>
      <c r="R77" s="207" t="s">
        <v>78</v>
      </c>
      <c r="S77" s="204">
        <f>IF(P74=5,Y72,0)</f>
        <v>0</v>
      </c>
      <c r="T77" s="204">
        <f>IF(P74=5,Y70,0)</f>
        <v>0</v>
      </c>
      <c r="U77" s="207"/>
      <c r="V77" s="207"/>
      <c r="W77" s="204" t="b">
        <f>IF(U50=2,TRUE,FALSE)</f>
        <v>0</v>
      </c>
      <c r="X77" s="208"/>
      <c r="Y77" s="208"/>
      <c r="Z77" s="207"/>
      <c r="AA77" s="207"/>
      <c r="AB77" s="207"/>
      <c r="AC77" s="207"/>
      <c r="AD77" s="207"/>
      <c r="AE77" s="207"/>
      <c r="AF77" s="207"/>
      <c r="AG77" s="207"/>
      <c r="AH77" s="207" t="s">
        <v>74</v>
      </c>
      <c r="AI77" s="204">
        <f>IF($P$74=4,AN73,0)</f>
        <v>0</v>
      </c>
      <c r="AJ77" s="205">
        <f>IF($P$74=4,AN72,0)</f>
        <v>0</v>
      </c>
      <c r="AK77" s="207"/>
      <c r="AL77" s="207"/>
      <c r="AM77" s="207"/>
      <c r="AN77" s="207"/>
      <c r="AO77" s="207"/>
      <c r="AP77" s="207"/>
      <c r="AQ77" s="207"/>
      <c r="AR77" s="206"/>
      <c r="BC77" s="164"/>
      <c r="BD77" s="164"/>
      <c r="BE77" s="164"/>
      <c r="BF77" s="164"/>
      <c r="BG77" s="164"/>
      <c r="BH77" s="164"/>
      <c r="BI77" s="164"/>
      <c r="BJ77" s="164"/>
      <c r="BK77" s="164"/>
      <c r="BL77" s="164"/>
      <c r="BM77" s="164"/>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I77" s="2"/>
      <c r="IJ77" s="3"/>
      <c r="IK77" s="3"/>
      <c r="IL77" s="3"/>
      <c r="IM77" s="2"/>
      <c r="IN77" s="2"/>
      <c r="IO77" s="2"/>
      <c r="IP77" s="2"/>
      <c r="IQ77" s="2"/>
      <c r="IR77" s="2"/>
      <c r="IS77" s="2"/>
      <c r="IT77" s="2"/>
      <c r="IU77" s="2"/>
      <c r="IV77" s="2"/>
    </row>
    <row r="78" spans="1:256" ht="14.25" customHeight="1">
      <c r="A78" s="1"/>
      <c r="B78" s="26"/>
      <c r="C78" s="273" t="s">
        <v>91</v>
      </c>
      <c r="D78" s="249"/>
      <c r="E78" s="249"/>
      <c r="F78" s="249"/>
      <c r="G78" s="249"/>
      <c r="H78" s="249"/>
      <c r="I78" s="249"/>
      <c r="J78" s="249"/>
      <c r="K78" s="274"/>
      <c r="L78" s="22"/>
      <c r="M78" s="1"/>
      <c r="P78" s="225"/>
      <c r="Q78" s="207"/>
      <c r="R78" s="207"/>
      <c r="S78" s="214">
        <f>SUM(S74:S77)</f>
        <v>0</v>
      </c>
      <c r="T78" s="214">
        <f>SUM(T74:T77)</f>
        <v>0</v>
      </c>
      <c r="U78" s="207"/>
      <c r="V78" s="207"/>
      <c r="W78" s="207">
        <f>IF(SUM(U65+$U$67=2),-1,0)</f>
        <v>0</v>
      </c>
      <c r="X78" s="207">
        <f>IF(U67+U65=4,1,0)</f>
        <v>0</v>
      </c>
      <c r="Y78" s="207">
        <f>SUM(W78:X78)</f>
        <v>0</v>
      </c>
      <c r="Z78" s="207"/>
      <c r="AA78" s="207"/>
      <c r="AB78" s="207"/>
      <c r="AC78" s="207"/>
      <c r="AD78" s="207"/>
      <c r="AE78" s="207"/>
      <c r="AF78" s="207"/>
      <c r="AG78" s="207"/>
      <c r="AH78" s="207" t="s">
        <v>78</v>
      </c>
      <c r="AI78" s="204">
        <f>IF($P$74=5,AO73,0)</f>
        <v>0</v>
      </c>
      <c r="AJ78" s="205">
        <f>IF($P$74=5,AO72,0)</f>
        <v>0</v>
      </c>
      <c r="AK78" s="207"/>
      <c r="AL78" s="207"/>
      <c r="AM78" s="207"/>
      <c r="AN78" s="207"/>
      <c r="AO78" s="207"/>
      <c r="AP78" s="207"/>
      <c r="AQ78" s="207"/>
      <c r="AR78" s="206"/>
      <c r="BC78" s="164"/>
      <c r="BD78" s="164"/>
      <c r="BE78" s="164"/>
      <c r="BF78" s="164"/>
      <c r="BG78" s="164"/>
      <c r="BH78" s="164"/>
      <c r="BI78" s="164"/>
      <c r="BJ78" s="164"/>
      <c r="BK78" s="164"/>
      <c r="BL78" s="164"/>
      <c r="BM78" s="164"/>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I78" s="2"/>
      <c r="IJ78" s="3"/>
      <c r="IK78" s="3"/>
      <c r="IL78" s="3"/>
      <c r="IM78" s="2"/>
      <c r="IN78" s="2"/>
      <c r="IO78" s="2"/>
      <c r="IP78" s="2"/>
      <c r="IQ78" s="2"/>
      <c r="IR78" s="2"/>
      <c r="IS78" s="2"/>
      <c r="IT78" s="2"/>
      <c r="IU78" s="2"/>
      <c r="IV78" s="2"/>
    </row>
    <row r="79" spans="1:256" ht="14.25" customHeight="1">
      <c r="A79" s="1"/>
      <c r="B79" s="57"/>
      <c r="C79" s="58"/>
      <c r="D79" s="58"/>
      <c r="E79" s="58"/>
      <c r="F79" s="58"/>
      <c r="G79" s="58"/>
      <c r="H79" s="58"/>
      <c r="I79" s="58"/>
      <c r="J79" s="58"/>
      <c r="K79" s="58"/>
      <c r="L79" s="59"/>
      <c r="M79" s="1"/>
      <c r="P79" s="225"/>
      <c r="Q79" s="207"/>
      <c r="R79" s="207"/>
      <c r="S79" s="207"/>
      <c r="T79" s="207"/>
      <c r="U79" s="207"/>
      <c r="V79" s="207"/>
      <c r="W79" s="207">
        <f>IF(SUM(U65=2),-1,0)</f>
        <v>0</v>
      </c>
      <c r="X79" s="207">
        <f>IF(U67=1,1,0)</f>
        <v>0</v>
      </c>
      <c r="Y79" s="207">
        <f>SUM(W79:X79)</f>
        <v>0</v>
      </c>
      <c r="Z79" s="207"/>
      <c r="AA79" s="207"/>
      <c r="AB79" s="207"/>
      <c r="AC79" s="207"/>
      <c r="AD79" s="207"/>
      <c r="AE79" s="207"/>
      <c r="AF79" s="207"/>
      <c r="AG79" s="241" t="s">
        <v>209</v>
      </c>
      <c r="AH79" s="207"/>
      <c r="AI79" s="207">
        <f>SUM(AI75:AI78)</f>
        <v>0</v>
      </c>
      <c r="AJ79" s="210">
        <f>SUM(AJ75:AJ78)</f>
        <v>0</v>
      </c>
      <c r="AK79" s="207"/>
      <c r="AL79" s="207"/>
      <c r="AM79" s="207"/>
      <c r="AN79" s="207"/>
      <c r="AO79" s="207"/>
      <c r="AP79" s="207"/>
      <c r="AQ79" s="207"/>
      <c r="AR79" s="206"/>
      <c r="BC79" s="164"/>
      <c r="BD79" s="164"/>
      <c r="BE79" s="164"/>
      <c r="BF79" s="164"/>
      <c r="BG79" s="164"/>
      <c r="BH79" s="164"/>
      <c r="BI79" s="164"/>
      <c r="BJ79" s="164"/>
      <c r="BK79" s="164"/>
      <c r="BL79" s="164"/>
      <c r="BM79" s="164"/>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I79" s="2"/>
      <c r="IJ79" s="3"/>
      <c r="IK79" s="3"/>
      <c r="IL79" s="3"/>
      <c r="IM79" s="2"/>
      <c r="IN79" s="2"/>
      <c r="IO79" s="2"/>
      <c r="IP79" s="2"/>
      <c r="IQ79" s="2"/>
      <c r="IR79" s="2"/>
      <c r="IS79" s="2"/>
      <c r="IT79" s="2"/>
      <c r="IU79" s="2"/>
      <c r="IV79" s="2"/>
    </row>
    <row r="80" spans="1:256" ht="14.25" customHeight="1">
      <c r="A80" s="1"/>
      <c r="B80" s="1"/>
      <c r="C80" s="1"/>
      <c r="D80" s="1"/>
      <c r="E80" s="1"/>
      <c r="F80" s="1"/>
      <c r="G80" s="1"/>
      <c r="H80" s="1"/>
      <c r="I80" s="1"/>
      <c r="J80" s="1"/>
      <c r="K80" s="1"/>
      <c r="L80" s="1"/>
      <c r="M80" s="1"/>
      <c r="P80" s="225"/>
      <c r="Q80" s="207"/>
      <c r="R80" s="207"/>
      <c r="S80" s="207"/>
      <c r="T80" s="207"/>
      <c r="U80" s="207"/>
      <c r="V80" s="207"/>
      <c r="W80" s="207">
        <f>IF(SUM(U67=2),0,-1)</f>
        <v>0</v>
      </c>
      <c r="X80" s="207">
        <f>IF(U65=1,1,0)</f>
        <v>1</v>
      </c>
      <c r="Y80" s="207" t="b">
        <f>IF(X82=0,TRUE,FALSE)</f>
        <v>0</v>
      </c>
      <c r="Z80" s="207">
        <f>SUM(Y76+X80)</f>
        <v>1</v>
      </c>
      <c r="AA80" s="207"/>
      <c r="AB80" s="207"/>
      <c r="AC80" s="207"/>
      <c r="AD80" s="207"/>
      <c r="AE80" s="207"/>
      <c r="AF80" s="207"/>
      <c r="AG80" s="207"/>
      <c r="AH80" s="207"/>
      <c r="AI80" s="207"/>
      <c r="AJ80" s="207"/>
      <c r="AK80" s="207"/>
      <c r="AL80" s="207"/>
      <c r="AM80" s="207"/>
      <c r="AN80" s="207"/>
      <c r="AO80" s="207"/>
      <c r="AP80" s="207"/>
      <c r="AQ80" s="207"/>
      <c r="AR80" s="206"/>
      <c r="BC80" s="164"/>
      <c r="BD80" s="164"/>
      <c r="BE80" s="164"/>
      <c r="BF80" s="164"/>
      <c r="BG80" s="164"/>
      <c r="BH80" s="164"/>
      <c r="BI80" s="164"/>
      <c r="BJ80" s="164"/>
      <c r="BK80" s="164"/>
      <c r="BL80" s="164"/>
      <c r="BM80" s="164"/>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I80" s="2"/>
      <c r="IJ80" s="3"/>
      <c r="IK80" s="3"/>
      <c r="IL80" s="3"/>
      <c r="IM80" s="2"/>
      <c r="IN80" s="2"/>
      <c r="IO80" s="2"/>
      <c r="IP80" s="2"/>
      <c r="IQ80" s="2"/>
      <c r="IR80" s="2"/>
      <c r="IS80" s="2"/>
      <c r="IT80" s="2"/>
      <c r="IU80" s="2"/>
      <c r="IV80" s="2"/>
    </row>
    <row r="81" spans="1:256">
      <c r="A81" s="2"/>
      <c r="B81" s="2"/>
      <c r="C81" s="2"/>
      <c r="D81" s="2"/>
      <c r="E81" s="2"/>
      <c r="F81" s="2"/>
      <c r="G81" s="2"/>
      <c r="H81" s="2"/>
      <c r="I81" s="2"/>
      <c r="J81" s="2"/>
      <c r="K81" s="2"/>
      <c r="L81" s="2"/>
      <c r="M81" s="2"/>
      <c r="P81" s="225"/>
      <c r="Q81" s="207"/>
      <c r="R81" s="207"/>
      <c r="S81" s="207"/>
      <c r="T81" s="207"/>
      <c r="U81" s="207"/>
      <c r="V81" s="207"/>
      <c r="W81" s="207"/>
      <c r="X81" s="207"/>
      <c r="Y81" s="207"/>
      <c r="Z81" s="207">
        <f>SUM(Z80+W80)</f>
        <v>1</v>
      </c>
      <c r="AA81" s="207"/>
      <c r="AB81" s="207"/>
      <c r="AC81" s="207"/>
      <c r="AD81" s="207"/>
      <c r="AE81" s="207"/>
      <c r="AF81" s="207"/>
      <c r="AG81" s="207"/>
      <c r="AH81" s="207"/>
      <c r="AI81" s="207"/>
      <c r="AJ81" s="207"/>
      <c r="AK81" s="207"/>
      <c r="AL81" s="207"/>
      <c r="AM81" s="207"/>
      <c r="AN81" s="207"/>
      <c r="AO81" s="207"/>
      <c r="AP81" s="207"/>
      <c r="AQ81" s="207"/>
      <c r="AR81" s="206"/>
      <c r="BC81" s="164"/>
      <c r="BD81" s="164"/>
      <c r="BE81" s="164"/>
      <c r="BF81" s="164"/>
      <c r="BG81" s="164"/>
      <c r="BH81" s="164"/>
      <c r="BI81" s="164"/>
      <c r="BJ81" s="164"/>
      <c r="BK81" s="164"/>
      <c r="BL81" s="164"/>
      <c r="BM81" s="164"/>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I81" s="2"/>
      <c r="IJ81" s="3"/>
      <c r="IK81" s="3"/>
      <c r="IL81" s="3"/>
      <c r="IM81" s="2"/>
      <c r="IN81" s="2"/>
      <c r="IO81" s="2"/>
      <c r="IP81" s="2"/>
      <c r="IQ81" s="2"/>
      <c r="IR81" s="2"/>
      <c r="IS81" s="2"/>
      <c r="IT81" s="2"/>
      <c r="IU81" s="2"/>
      <c r="IV81" s="2"/>
    </row>
    <row r="82" spans="1:256">
      <c r="A82" s="2"/>
      <c r="B82" s="2"/>
      <c r="C82" s="2"/>
      <c r="D82" s="2"/>
      <c r="E82" s="2"/>
      <c r="F82" s="2"/>
      <c r="G82" s="2"/>
      <c r="H82" s="2"/>
      <c r="I82" s="2"/>
      <c r="J82" s="2"/>
      <c r="K82" s="2"/>
      <c r="L82" s="2"/>
      <c r="M82" s="2"/>
      <c r="P82" s="225"/>
      <c r="Q82" s="207"/>
      <c r="R82" s="207"/>
      <c r="S82" s="207"/>
      <c r="T82" s="207"/>
      <c r="U82" s="207"/>
      <c r="V82" s="207"/>
      <c r="W82" s="207"/>
      <c r="X82" s="207">
        <f>IF(U67=1,Y76,Z80)</f>
        <v>1</v>
      </c>
      <c r="Y82" s="207"/>
      <c r="Z82" s="207"/>
      <c r="AA82" s="207"/>
      <c r="AB82" s="207"/>
      <c r="AC82" s="207"/>
      <c r="AD82" s="207"/>
      <c r="AE82" s="207"/>
      <c r="AF82" s="207"/>
      <c r="AG82" s="207"/>
      <c r="AH82" s="207"/>
      <c r="AI82" s="207"/>
      <c r="AJ82" s="207"/>
      <c r="AK82" s="207"/>
      <c r="AL82" s="207"/>
      <c r="AM82" s="207"/>
      <c r="AN82" s="207"/>
      <c r="AO82" s="207"/>
      <c r="AP82" s="207"/>
      <c r="AQ82" s="207"/>
      <c r="AR82" s="206"/>
      <c r="BC82" s="164"/>
      <c r="BD82" s="164"/>
      <c r="BE82" s="164"/>
      <c r="BF82" s="164"/>
      <c r="BG82" s="164"/>
      <c r="BH82" s="164"/>
      <c r="BI82" s="164"/>
      <c r="BJ82" s="164"/>
      <c r="BK82" s="164"/>
      <c r="BL82" s="164"/>
      <c r="BM82" s="164"/>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I82" s="2"/>
      <c r="IJ82" s="3"/>
      <c r="IK82" s="3"/>
      <c r="IL82" s="3"/>
      <c r="IM82" s="2"/>
      <c r="IN82" s="2"/>
      <c r="IO82" s="2"/>
      <c r="IP82" s="2"/>
      <c r="IQ82" s="2"/>
      <c r="IR82" s="2"/>
      <c r="IS82" s="2"/>
      <c r="IT82" s="2"/>
      <c r="IU82" s="2"/>
      <c r="IV82" s="2"/>
    </row>
    <row r="83" spans="1:256">
      <c r="A83" s="2"/>
      <c r="B83" s="2"/>
      <c r="C83" s="2"/>
      <c r="D83" s="2"/>
      <c r="E83" s="2"/>
      <c r="F83" s="2"/>
      <c r="G83" s="2"/>
      <c r="H83" s="2"/>
      <c r="I83" s="2"/>
      <c r="J83" s="2"/>
      <c r="K83" s="2"/>
      <c r="L83" s="2"/>
      <c r="M83" s="2"/>
      <c r="P83" s="225"/>
      <c r="Q83" s="207"/>
      <c r="R83" s="207"/>
      <c r="S83" s="207"/>
      <c r="T83" s="207"/>
      <c r="U83" s="207"/>
      <c r="V83" s="207"/>
      <c r="W83" s="207"/>
      <c r="X83" s="207"/>
      <c r="Y83" s="207"/>
      <c r="Z83" s="207"/>
      <c r="AA83" s="207"/>
      <c r="AB83" s="207"/>
      <c r="AC83" s="207"/>
      <c r="AD83" s="207"/>
      <c r="AE83" s="207"/>
      <c r="AF83" s="207"/>
      <c r="AG83" s="207"/>
      <c r="AH83" s="207"/>
      <c r="AI83" s="207"/>
      <c r="AJ83" s="207"/>
      <c r="AK83" s="207"/>
      <c r="AL83" s="207"/>
      <c r="AM83" s="207"/>
      <c r="AN83" s="207"/>
      <c r="AO83" s="207"/>
      <c r="AP83" s="207"/>
      <c r="AQ83" s="207"/>
      <c r="AR83" s="206"/>
      <c r="BC83" s="164"/>
      <c r="BD83" s="164"/>
      <c r="BE83" s="164"/>
      <c r="BF83" s="164"/>
      <c r="BG83" s="164"/>
      <c r="BH83" s="164"/>
      <c r="BI83" s="164"/>
      <c r="BJ83" s="164"/>
      <c r="BK83" s="164"/>
      <c r="BL83" s="164"/>
      <c r="BM83" s="164"/>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I83" s="2"/>
      <c r="IJ83" s="3"/>
      <c r="IK83" s="3"/>
      <c r="IL83" s="3"/>
      <c r="IM83" s="2"/>
      <c r="IN83" s="2"/>
      <c r="IO83" s="2"/>
      <c r="IP83" s="2"/>
      <c r="IQ83" s="2"/>
      <c r="IR83" s="2"/>
      <c r="IS83" s="2"/>
      <c r="IT83" s="2"/>
      <c r="IU83" s="2"/>
      <c r="IV83" s="2"/>
    </row>
    <row r="84" spans="1:256">
      <c r="A84" s="2"/>
      <c r="B84" s="2"/>
      <c r="C84" s="2"/>
      <c r="D84" s="2"/>
      <c r="E84" s="2"/>
      <c r="F84" s="2"/>
      <c r="G84" s="2"/>
      <c r="H84" s="2"/>
      <c r="I84" s="2"/>
      <c r="J84" s="2"/>
      <c r="K84" s="2"/>
      <c r="L84" s="2"/>
      <c r="M84" s="2"/>
      <c r="P84" s="225"/>
      <c r="Q84" s="207"/>
      <c r="R84" s="207"/>
      <c r="S84" s="207"/>
      <c r="T84" s="207"/>
      <c r="U84" s="207"/>
      <c r="V84" s="207"/>
      <c r="W84" s="207"/>
      <c r="X84" s="207"/>
      <c r="Y84" s="207"/>
      <c r="Z84" s="207"/>
      <c r="AA84" s="207"/>
      <c r="AB84" s="207"/>
      <c r="AC84" s="207"/>
      <c r="AD84" s="207"/>
      <c r="AE84" s="207"/>
      <c r="AF84" s="207"/>
      <c r="AG84" s="207"/>
      <c r="AH84" s="207"/>
      <c r="AI84" s="207"/>
      <c r="AJ84" s="207"/>
      <c r="AK84" s="207"/>
      <c r="AL84" s="207"/>
      <c r="AM84" s="207"/>
      <c r="AN84" s="207"/>
      <c r="AO84" s="207"/>
      <c r="AP84" s="207"/>
      <c r="AQ84" s="207"/>
      <c r="AR84" s="206"/>
      <c r="BC84" s="164"/>
      <c r="BD84" s="164"/>
      <c r="BE84" s="164"/>
      <c r="BF84" s="164"/>
      <c r="BG84" s="164"/>
      <c r="BH84" s="164"/>
      <c r="BI84" s="164"/>
      <c r="BJ84" s="164"/>
      <c r="BK84" s="164"/>
      <c r="BL84" s="164"/>
      <c r="BM84" s="164"/>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I84" s="2"/>
      <c r="IJ84" s="3"/>
      <c r="IK84" s="3"/>
      <c r="IL84" s="3"/>
      <c r="IM84" s="2"/>
      <c r="IN84" s="2"/>
      <c r="IO84" s="2"/>
      <c r="IP84" s="2"/>
      <c r="IQ84" s="2"/>
      <c r="IR84" s="2"/>
      <c r="IS84" s="2"/>
      <c r="IT84" s="2"/>
      <c r="IU84" s="2"/>
      <c r="IV84" s="2"/>
    </row>
    <row r="85" spans="1:256">
      <c r="A85" s="2"/>
      <c r="B85" s="2"/>
      <c r="C85" s="2"/>
      <c r="D85" s="2"/>
      <c r="E85" s="2"/>
      <c r="F85" s="2"/>
      <c r="G85" s="2"/>
      <c r="H85" s="2"/>
      <c r="I85" s="2"/>
      <c r="J85" s="2"/>
      <c r="K85" s="2"/>
      <c r="L85" s="2"/>
      <c r="M85" s="2"/>
      <c r="P85" s="38"/>
      <c r="Q85" s="39"/>
      <c r="R85" s="39"/>
      <c r="S85" s="39"/>
      <c r="T85" s="39"/>
      <c r="U85" s="39"/>
      <c r="V85" s="39"/>
      <c r="W85" s="39"/>
      <c r="X85" s="39"/>
      <c r="Y85" s="39"/>
      <c r="Z85" s="39" t="s">
        <v>2</v>
      </c>
      <c r="AA85" s="39"/>
      <c r="AB85" s="39"/>
      <c r="AC85" s="39"/>
      <c r="AD85" s="39"/>
      <c r="AE85" s="39"/>
      <c r="AF85" s="39"/>
      <c r="AG85" s="39"/>
      <c r="AH85" s="39"/>
      <c r="AI85" s="39"/>
      <c r="AJ85" s="39"/>
      <c r="AK85" s="39"/>
      <c r="AL85" s="39"/>
      <c r="AM85" s="39"/>
      <c r="AN85" s="39"/>
      <c r="AO85" s="39"/>
      <c r="AP85" s="39"/>
      <c r="AQ85" s="39"/>
      <c r="AR85" s="40"/>
      <c r="BC85" s="164"/>
      <c r="BD85" s="164"/>
      <c r="BE85" s="164"/>
      <c r="BF85" s="164"/>
      <c r="BG85" s="164"/>
      <c r="BH85" s="164"/>
      <c r="BI85" s="164"/>
      <c r="BJ85" s="164"/>
      <c r="BK85" s="164"/>
      <c r="BL85" s="164"/>
      <c r="BM85" s="164"/>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I85" s="2"/>
      <c r="IJ85" s="3"/>
      <c r="IK85" s="3"/>
      <c r="IL85" s="3"/>
      <c r="IM85" s="2"/>
      <c r="IN85" s="2"/>
      <c r="IO85" s="2"/>
      <c r="IP85" s="2"/>
      <c r="IQ85" s="2"/>
      <c r="IR85" s="2"/>
      <c r="IS85" s="2"/>
      <c r="IT85" s="2"/>
      <c r="IU85" s="2"/>
      <c r="IV85" s="2"/>
    </row>
    <row r="86" spans="1:256">
      <c r="A86" s="2"/>
      <c r="B86" s="2"/>
      <c r="C86" s="2"/>
      <c r="D86" s="2"/>
      <c r="E86" s="2"/>
      <c r="F86" s="2"/>
      <c r="G86" s="2"/>
      <c r="H86" s="2"/>
      <c r="I86" s="2"/>
      <c r="J86" s="2"/>
      <c r="K86" s="2"/>
      <c r="L86" s="2"/>
      <c r="M86" s="2"/>
      <c r="BC86" s="164"/>
      <c r="BD86" s="164"/>
      <c r="BE86" s="164"/>
      <c r="BF86" s="164"/>
      <c r="BG86" s="164"/>
      <c r="BH86" s="164"/>
      <c r="BI86" s="164"/>
      <c r="BJ86" s="164"/>
      <c r="BK86" s="164"/>
      <c r="BL86" s="164"/>
      <c r="BM86" s="164"/>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c r="GQ86" s="2"/>
      <c r="GR86" s="2"/>
      <c r="GS86" s="2"/>
      <c r="GT86" s="2"/>
      <c r="GU86" s="2"/>
      <c r="GV86" s="2"/>
      <c r="GW86" s="2"/>
      <c r="GX86" s="2"/>
      <c r="GY86" s="2"/>
      <c r="GZ86" s="2"/>
      <c r="HA86" s="2"/>
      <c r="HB86" s="2"/>
      <c r="HC86" s="2"/>
      <c r="HD86" s="2"/>
      <c r="HE86" s="2"/>
      <c r="HF86" s="2"/>
      <c r="HG86" s="2"/>
      <c r="HH86" s="2"/>
      <c r="HI86" s="2"/>
      <c r="HJ86" s="2"/>
      <c r="HK86" s="2"/>
      <c r="HL86" s="2"/>
      <c r="HM86" s="2"/>
      <c r="HN86" s="2"/>
      <c r="HO86" s="2"/>
      <c r="HP86" s="2"/>
      <c r="HQ86" s="2"/>
      <c r="HR86" s="2"/>
      <c r="HS86" s="2"/>
      <c r="HT86" s="2"/>
      <c r="HU86" s="2"/>
      <c r="HV86" s="2"/>
      <c r="HW86" s="2"/>
      <c r="HX86" s="2"/>
      <c r="HY86" s="2"/>
      <c r="HZ86" s="2"/>
      <c r="IA86" s="2"/>
      <c r="IB86" s="2"/>
      <c r="IC86" s="2"/>
      <c r="ID86" s="2"/>
      <c r="IE86" s="2"/>
      <c r="IF86" s="2"/>
      <c r="II86" s="2"/>
      <c r="IJ86" s="3"/>
      <c r="IK86" s="3"/>
      <c r="IL86" s="3"/>
      <c r="IM86" s="2"/>
      <c r="IN86" s="2"/>
      <c r="IO86" s="2"/>
      <c r="IP86" s="2"/>
      <c r="IQ86" s="2"/>
      <c r="IR86" s="2"/>
      <c r="IS86" s="2"/>
      <c r="IT86" s="2"/>
      <c r="IU86" s="2"/>
      <c r="IV86" s="2"/>
    </row>
    <row r="87" spans="1:256">
      <c r="A87" s="2"/>
      <c r="B87" s="2"/>
      <c r="C87" s="2"/>
      <c r="D87" s="2"/>
      <c r="E87" s="2"/>
      <c r="F87" s="2"/>
      <c r="G87" s="2"/>
      <c r="H87" s="2"/>
      <c r="I87" s="2"/>
      <c r="J87" s="2"/>
      <c r="K87" s="2"/>
      <c r="L87" s="2"/>
      <c r="M87" s="2"/>
      <c r="BC87" s="164"/>
      <c r="BD87" s="164"/>
      <c r="BE87" s="164"/>
      <c r="BF87" s="164"/>
      <c r="BG87" s="164"/>
      <c r="BH87" s="164"/>
      <c r="BI87" s="164"/>
      <c r="BJ87" s="164"/>
      <c r="BK87" s="164"/>
      <c r="BL87" s="164"/>
      <c r="BM87" s="164"/>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c r="GQ87" s="2"/>
      <c r="GR87" s="2"/>
      <c r="GS87" s="2"/>
      <c r="GT87" s="2"/>
      <c r="GU87" s="2"/>
      <c r="GV87" s="2"/>
      <c r="GW87" s="2"/>
      <c r="GX87" s="2"/>
      <c r="GY87" s="2"/>
      <c r="GZ87" s="2"/>
      <c r="HA87" s="2"/>
      <c r="HB87" s="2"/>
      <c r="HC87" s="2"/>
      <c r="HD87" s="2"/>
      <c r="HE87" s="2"/>
      <c r="HF87" s="2"/>
      <c r="HG87" s="2"/>
      <c r="HH87" s="2"/>
      <c r="HI87" s="2"/>
      <c r="HJ87" s="2"/>
      <c r="HK87" s="2"/>
      <c r="HL87" s="2"/>
      <c r="HM87" s="2"/>
      <c r="HN87" s="2"/>
      <c r="HO87" s="2"/>
      <c r="HP87" s="2"/>
      <c r="HQ87" s="2"/>
      <c r="HR87" s="2"/>
      <c r="HS87" s="2"/>
      <c r="HT87" s="2"/>
      <c r="HU87" s="2"/>
      <c r="HV87" s="2"/>
      <c r="HW87" s="2"/>
      <c r="HX87" s="2"/>
      <c r="HY87" s="2"/>
      <c r="HZ87" s="2"/>
      <c r="IA87" s="2"/>
      <c r="IB87" s="2"/>
      <c r="IC87" s="2"/>
      <c r="ID87" s="2"/>
      <c r="IE87" s="2"/>
      <c r="IF87" s="2"/>
      <c r="II87" s="2"/>
      <c r="IJ87" s="3"/>
      <c r="IK87" s="3"/>
      <c r="IL87" s="3"/>
      <c r="IM87" s="2"/>
      <c r="IN87" s="2"/>
      <c r="IO87" s="2"/>
      <c r="IP87" s="2"/>
      <c r="IQ87" s="2"/>
      <c r="IR87" s="2"/>
      <c r="IS87" s="2"/>
      <c r="IT87" s="2"/>
      <c r="IU87" s="2"/>
      <c r="IV87" s="2"/>
    </row>
    <row r="88" spans="1:256">
      <c r="A88" s="2"/>
      <c r="B88" s="2"/>
      <c r="C88" s="2"/>
      <c r="D88" s="2"/>
      <c r="E88" s="2"/>
      <c r="F88" s="2"/>
      <c r="G88" s="2"/>
      <c r="H88" s="2"/>
      <c r="I88" s="2"/>
      <c r="J88" s="2"/>
      <c r="K88" s="2"/>
      <c r="L88" s="2"/>
      <c r="M88" s="2"/>
      <c r="BC88" s="164"/>
      <c r="BD88" s="164"/>
      <c r="BE88" s="164"/>
      <c r="BF88" s="164"/>
      <c r="BG88" s="164"/>
      <c r="BH88" s="164"/>
      <c r="BI88" s="164"/>
      <c r="BJ88" s="164"/>
      <c r="BK88" s="164"/>
      <c r="BL88" s="164"/>
      <c r="BM88" s="164"/>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c r="GH88" s="2"/>
      <c r="GI88" s="2"/>
      <c r="GJ88" s="2"/>
      <c r="GK88" s="2"/>
      <c r="GL88" s="2"/>
      <c r="GM88" s="2"/>
      <c r="GN88" s="2"/>
      <c r="GO88" s="2"/>
      <c r="GP88" s="2"/>
      <c r="GQ88" s="2"/>
      <c r="GR88" s="2"/>
      <c r="GS88" s="2"/>
      <c r="GT88" s="2"/>
      <c r="GU88" s="2"/>
      <c r="GV88" s="2"/>
      <c r="GW88" s="2"/>
      <c r="GX88" s="2"/>
      <c r="GY88" s="2"/>
      <c r="GZ88" s="2"/>
      <c r="HA88" s="2"/>
      <c r="HB88" s="2"/>
      <c r="HC88" s="2"/>
      <c r="HD88" s="2"/>
      <c r="HE88" s="2"/>
      <c r="HF88" s="2"/>
      <c r="HG88" s="2"/>
      <c r="HH88" s="2"/>
      <c r="HI88" s="2"/>
      <c r="HJ88" s="2"/>
      <c r="HK88" s="2"/>
      <c r="HL88" s="2"/>
      <c r="HM88" s="2"/>
      <c r="HN88" s="2"/>
      <c r="HO88" s="2"/>
      <c r="HP88" s="2"/>
      <c r="HQ88" s="2"/>
      <c r="HR88" s="2"/>
      <c r="HS88" s="2"/>
      <c r="HT88" s="2"/>
      <c r="HU88" s="2"/>
      <c r="HV88" s="2"/>
      <c r="HW88" s="2"/>
      <c r="HX88" s="2"/>
      <c r="HY88" s="2"/>
      <c r="HZ88" s="2"/>
      <c r="IA88" s="2"/>
      <c r="IB88" s="2"/>
      <c r="IC88" s="2"/>
      <c r="ID88" s="2"/>
      <c r="IE88" s="2"/>
      <c r="IF88" s="2"/>
      <c r="II88" s="2"/>
      <c r="IJ88" s="3"/>
      <c r="IK88" s="3"/>
      <c r="IL88" s="3"/>
      <c r="IM88" s="2"/>
      <c r="IN88" s="2"/>
      <c r="IO88" s="2"/>
      <c r="IP88" s="2"/>
      <c r="IQ88" s="2"/>
      <c r="IR88" s="2"/>
      <c r="IS88" s="2"/>
      <c r="IT88" s="2"/>
      <c r="IU88" s="2"/>
      <c r="IV88" s="2"/>
    </row>
    <row r="89" spans="1:256">
      <c r="A89" s="2"/>
      <c r="B89" s="2"/>
      <c r="C89" s="2"/>
      <c r="D89" s="2"/>
      <c r="E89" s="2"/>
      <c r="F89" s="2"/>
      <c r="G89" s="2"/>
      <c r="H89" s="2"/>
      <c r="I89" s="2"/>
      <c r="J89" s="2"/>
      <c r="K89" s="2"/>
      <c r="L89" s="2"/>
      <c r="M89" s="2"/>
      <c r="BC89" s="164"/>
      <c r="BD89" s="164"/>
      <c r="BE89" s="164"/>
      <c r="BF89" s="164"/>
      <c r="BG89" s="164"/>
      <c r="BH89" s="164"/>
      <c r="BI89" s="164"/>
      <c r="BJ89" s="164"/>
      <c r="BK89" s="164"/>
      <c r="BL89" s="164"/>
      <c r="BM89" s="164"/>
      <c r="FA89" s="2"/>
      <c r="FB89" s="2"/>
      <c r="FC89" s="2"/>
      <c r="FD89" s="2"/>
      <c r="FE89" s="2"/>
      <c r="FF89" s="2"/>
      <c r="FG89" s="2"/>
      <c r="FH89" s="2"/>
      <c r="FI89" s="2"/>
      <c r="FJ89" s="2"/>
      <c r="FK89" s="2"/>
      <c r="FL89" s="2"/>
      <c r="FM89" s="2"/>
      <c r="FN89" s="2"/>
      <c r="FO89" s="2"/>
      <c r="FP89" s="2"/>
      <c r="FQ89" s="2"/>
      <c r="FR89" s="2"/>
      <c r="FS89" s="2"/>
      <c r="FT89" s="2"/>
      <c r="FU89" s="2"/>
      <c r="FV89" s="2"/>
      <c r="FW89" s="2"/>
      <c r="FX89" s="2"/>
      <c r="FY89" s="2"/>
      <c r="FZ89" s="2"/>
      <c r="GA89" s="2"/>
      <c r="GB89" s="2"/>
      <c r="GC89" s="2"/>
      <c r="GD89" s="2"/>
      <c r="GE89" s="2"/>
      <c r="GF89" s="2"/>
      <c r="GG89" s="2"/>
      <c r="GH89" s="2"/>
      <c r="GI89" s="2"/>
      <c r="GJ89" s="2"/>
      <c r="GK89" s="2"/>
      <c r="GL89" s="2"/>
      <c r="GM89" s="2"/>
      <c r="GN89" s="2"/>
      <c r="GO89" s="2"/>
      <c r="GP89" s="2"/>
      <c r="GQ89" s="2"/>
      <c r="GR89" s="2"/>
      <c r="GS89" s="2"/>
      <c r="GT89" s="2"/>
      <c r="GU89" s="2"/>
      <c r="GV89" s="2"/>
      <c r="GW89" s="2"/>
      <c r="GX89" s="2"/>
      <c r="GY89" s="2"/>
      <c r="GZ89" s="2"/>
      <c r="HA89" s="2"/>
      <c r="HB89" s="2"/>
      <c r="HC89" s="2"/>
      <c r="HD89" s="2"/>
      <c r="HE89" s="2"/>
      <c r="HF89" s="2"/>
      <c r="HG89" s="2"/>
      <c r="HH89" s="2"/>
      <c r="HI89" s="2"/>
      <c r="HJ89" s="2"/>
      <c r="HK89" s="2"/>
      <c r="HL89" s="2"/>
      <c r="HM89" s="2"/>
      <c r="HN89" s="2"/>
      <c r="HO89" s="2"/>
      <c r="HP89" s="2"/>
      <c r="HQ89" s="2"/>
      <c r="HR89" s="2"/>
      <c r="HS89" s="2"/>
      <c r="HT89" s="2"/>
      <c r="HU89" s="2"/>
      <c r="HV89" s="2"/>
      <c r="HW89" s="2"/>
      <c r="HX89" s="2"/>
      <c r="HY89" s="2"/>
      <c r="HZ89" s="2"/>
      <c r="IA89" s="2"/>
      <c r="IB89" s="2"/>
      <c r="IC89" s="2"/>
      <c r="ID89" s="2"/>
      <c r="IE89" s="2"/>
      <c r="IF89" s="2"/>
      <c r="II89" s="2"/>
      <c r="IJ89" s="3"/>
      <c r="IK89" s="3"/>
      <c r="IL89" s="3"/>
      <c r="IM89" s="2"/>
      <c r="IN89" s="2"/>
      <c r="IO89" s="2"/>
      <c r="IP89" s="2"/>
      <c r="IQ89" s="2"/>
      <c r="IR89" s="2"/>
      <c r="IS89" s="2"/>
      <c r="IT89" s="2"/>
      <c r="IU89" s="2"/>
      <c r="IV89" s="2"/>
    </row>
    <row r="90" spans="1:256">
      <c r="A90" s="2"/>
      <c r="B90" s="2"/>
      <c r="C90" s="2"/>
      <c r="D90" s="2"/>
      <c r="E90" s="2"/>
      <c r="F90" s="2"/>
      <c r="G90" s="2"/>
      <c r="H90" s="2"/>
      <c r="I90" s="2"/>
      <c r="J90" s="2"/>
      <c r="K90" s="2"/>
      <c r="L90" s="2"/>
      <c r="M90" s="2"/>
      <c r="BC90" s="164"/>
      <c r="BD90" s="164"/>
      <c r="BE90" s="164"/>
      <c r="BF90" s="164"/>
      <c r="BG90" s="164"/>
      <c r="BH90" s="164"/>
      <c r="BI90" s="164"/>
      <c r="BJ90" s="164"/>
      <c r="BK90" s="164"/>
      <c r="BL90" s="164"/>
      <c r="BM90" s="164"/>
      <c r="FA90" s="2"/>
      <c r="FB90" s="2"/>
      <c r="FC90" s="2"/>
      <c r="FD90" s="2"/>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c r="GH90" s="2"/>
      <c r="GI90" s="2"/>
      <c r="GJ90" s="2"/>
      <c r="GK90" s="2"/>
      <c r="GL90" s="2"/>
      <c r="GM90" s="2"/>
      <c r="GN90" s="2"/>
      <c r="GO90" s="2"/>
      <c r="GP90" s="2"/>
      <c r="GQ90" s="2"/>
      <c r="GR90" s="2"/>
      <c r="GS90" s="2"/>
      <c r="GT90" s="2"/>
      <c r="GU90" s="2"/>
      <c r="GV90" s="2"/>
      <c r="GW90" s="2"/>
      <c r="GX90" s="2"/>
      <c r="GY90" s="2"/>
      <c r="GZ90" s="2"/>
      <c r="HA90" s="2"/>
      <c r="HB90" s="2"/>
      <c r="HC90" s="2"/>
      <c r="HD90" s="2"/>
      <c r="HE90" s="2"/>
      <c r="HF90" s="2"/>
      <c r="HG90" s="2"/>
      <c r="HH90" s="2"/>
      <c r="HI90" s="2"/>
      <c r="HJ90" s="2"/>
      <c r="HK90" s="2"/>
      <c r="HL90" s="2"/>
      <c r="HM90" s="2"/>
      <c r="HN90" s="2"/>
      <c r="HO90" s="2"/>
      <c r="HP90" s="2"/>
      <c r="HQ90" s="2"/>
      <c r="HR90" s="2"/>
      <c r="HS90" s="2"/>
      <c r="HT90" s="2"/>
      <c r="HU90" s="2"/>
      <c r="HV90" s="2"/>
      <c r="HW90" s="2"/>
      <c r="HX90" s="2"/>
      <c r="HY90" s="2"/>
      <c r="HZ90" s="2"/>
      <c r="IA90" s="2"/>
      <c r="IB90" s="2"/>
      <c r="IC90" s="2"/>
      <c r="ID90" s="2"/>
      <c r="IE90" s="2"/>
      <c r="IF90" s="2"/>
      <c r="II90" s="2"/>
      <c r="IJ90" s="3"/>
      <c r="IK90" s="3"/>
      <c r="IL90" s="3"/>
      <c r="IM90" s="2"/>
      <c r="IN90" s="2"/>
      <c r="IO90" s="2"/>
      <c r="IP90" s="2"/>
      <c r="IQ90" s="2"/>
      <c r="IR90" s="2"/>
      <c r="IS90" s="2"/>
      <c r="IT90" s="2"/>
      <c r="IU90" s="2"/>
      <c r="IV90" s="2"/>
    </row>
    <row r="91" spans="1:256">
      <c r="A91" s="2"/>
      <c r="B91" s="2"/>
      <c r="C91" s="2"/>
      <c r="D91" s="2"/>
      <c r="E91" s="2"/>
      <c r="F91" s="2"/>
      <c r="G91" s="2"/>
      <c r="H91" s="2"/>
      <c r="I91" s="2"/>
      <c r="J91" s="2"/>
      <c r="K91" s="2"/>
      <c r="L91" s="2"/>
      <c r="M91" s="2"/>
      <c r="BC91" s="164"/>
      <c r="BD91" s="164"/>
      <c r="BE91" s="164"/>
      <c r="BF91" s="164"/>
      <c r="BG91" s="164"/>
      <c r="BH91" s="164"/>
      <c r="BI91" s="164"/>
      <c r="BJ91" s="164"/>
      <c r="BK91" s="164"/>
      <c r="BL91" s="164"/>
      <c r="BM91" s="164"/>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c r="GP91" s="2"/>
      <c r="GQ91" s="2"/>
      <c r="GR91" s="2"/>
      <c r="GS91" s="2"/>
      <c r="GT91" s="2"/>
      <c r="GU91" s="2"/>
      <c r="GV91" s="2"/>
      <c r="GW91" s="2"/>
      <c r="GX91" s="2"/>
      <c r="GY91" s="2"/>
      <c r="GZ91" s="2"/>
      <c r="HA91" s="2"/>
      <c r="HB91" s="2"/>
      <c r="HC91" s="2"/>
      <c r="HD91" s="2"/>
      <c r="HE91" s="2"/>
      <c r="HF91" s="2"/>
      <c r="HG91" s="2"/>
      <c r="HH91" s="2"/>
      <c r="HI91" s="2"/>
      <c r="HJ91" s="2"/>
      <c r="HK91" s="2"/>
      <c r="HL91" s="2"/>
      <c r="HM91" s="2"/>
      <c r="HN91" s="2"/>
      <c r="HO91" s="2"/>
      <c r="HP91" s="2"/>
      <c r="HQ91" s="2"/>
      <c r="HR91" s="2"/>
      <c r="HS91" s="2"/>
      <c r="HT91" s="2"/>
      <c r="HU91" s="2"/>
      <c r="HV91" s="2"/>
      <c r="HW91" s="2"/>
      <c r="HX91" s="2"/>
      <c r="HY91" s="2"/>
      <c r="HZ91" s="2"/>
      <c r="IA91" s="2"/>
      <c r="IB91" s="2"/>
      <c r="IC91" s="2"/>
      <c r="ID91" s="2"/>
      <c r="IE91" s="2"/>
      <c r="IF91" s="2"/>
      <c r="II91" s="2"/>
      <c r="IJ91" s="3"/>
      <c r="IK91" s="3"/>
      <c r="IL91" s="3"/>
      <c r="IM91" s="2"/>
      <c r="IN91" s="2"/>
      <c r="IO91" s="2"/>
      <c r="IP91" s="2"/>
      <c r="IQ91" s="2"/>
      <c r="IR91" s="2"/>
      <c r="IS91" s="2"/>
      <c r="IT91" s="2"/>
      <c r="IU91" s="2"/>
      <c r="IV91" s="2"/>
    </row>
    <row r="92" spans="1:256">
      <c r="A92" s="2"/>
      <c r="B92" s="2"/>
      <c r="C92" s="2"/>
      <c r="D92" s="2"/>
      <c r="E92" s="2"/>
      <c r="F92" s="2"/>
      <c r="G92" s="2"/>
      <c r="H92" s="2"/>
      <c r="I92" s="2"/>
      <c r="J92" s="2"/>
      <c r="K92" s="2"/>
      <c r="L92" s="2"/>
      <c r="M92" s="2"/>
      <c r="BC92" s="164"/>
      <c r="BD92" s="164"/>
      <c r="BE92" s="164"/>
      <c r="BF92" s="164"/>
      <c r="BG92" s="164"/>
      <c r="BH92" s="164"/>
      <c r="BI92" s="164"/>
      <c r="BJ92" s="164"/>
      <c r="BK92" s="164"/>
      <c r="BL92" s="164"/>
      <c r="BM92" s="164"/>
      <c r="FA92" s="2"/>
      <c r="FB92" s="2"/>
      <c r="FC92" s="2"/>
      <c r="FD92" s="2"/>
      <c r="FE92" s="2"/>
      <c r="FF92" s="2"/>
      <c r="FG92" s="2"/>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c r="GH92" s="2"/>
      <c r="GI92" s="2"/>
      <c r="GJ92" s="2"/>
      <c r="GK92" s="2"/>
      <c r="GL92" s="2"/>
      <c r="GM92" s="2"/>
      <c r="GN92" s="2"/>
      <c r="GO92" s="2"/>
      <c r="GP92" s="2"/>
      <c r="GQ92" s="2"/>
      <c r="GR92" s="2"/>
      <c r="GS92" s="2"/>
      <c r="GT92" s="2"/>
      <c r="GU92" s="2"/>
      <c r="GV92" s="2"/>
      <c r="GW92" s="2"/>
      <c r="GX92" s="2"/>
      <c r="GY92" s="2"/>
      <c r="GZ92" s="2"/>
      <c r="HA92" s="2"/>
      <c r="HB92" s="2"/>
      <c r="HC92" s="2"/>
      <c r="HD92" s="2"/>
      <c r="HE92" s="2"/>
      <c r="HF92" s="2"/>
      <c r="HG92" s="2"/>
      <c r="HH92" s="2"/>
      <c r="HI92" s="2"/>
      <c r="HJ92" s="2"/>
      <c r="HK92" s="2"/>
      <c r="HL92" s="2"/>
      <c r="HM92" s="2"/>
      <c r="HN92" s="2"/>
      <c r="HO92" s="2"/>
      <c r="HP92" s="2"/>
      <c r="HQ92" s="2"/>
      <c r="HR92" s="2"/>
      <c r="HS92" s="2"/>
      <c r="HT92" s="2"/>
      <c r="HU92" s="2"/>
      <c r="HV92" s="2"/>
      <c r="HW92" s="2"/>
      <c r="HX92" s="2"/>
      <c r="HY92" s="2"/>
      <c r="HZ92" s="2"/>
      <c r="IA92" s="2"/>
      <c r="IB92" s="2"/>
      <c r="IC92" s="2"/>
      <c r="ID92" s="2"/>
      <c r="IE92" s="2"/>
      <c r="IF92" s="2"/>
      <c r="II92" s="2"/>
      <c r="IJ92" s="3"/>
      <c r="IK92" s="3"/>
      <c r="IL92" s="3"/>
      <c r="IM92" s="2"/>
      <c r="IN92" s="2"/>
      <c r="IO92" s="2"/>
      <c r="IP92" s="2"/>
      <c r="IQ92" s="2"/>
      <c r="IR92" s="2"/>
      <c r="IS92" s="2"/>
      <c r="IT92" s="2"/>
      <c r="IU92" s="2"/>
      <c r="IV92" s="2"/>
    </row>
    <row r="93" spans="1:256">
      <c r="A93" s="2"/>
      <c r="B93" s="2"/>
      <c r="C93" s="2"/>
      <c r="D93" s="2"/>
      <c r="E93" s="2"/>
      <c r="F93" s="2"/>
      <c r="G93" s="2"/>
      <c r="H93" s="2"/>
      <c r="I93" s="2"/>
      <c r="J93" s="2"/>
      <c r="K93" s="2"/>
      <c r="L93" s="2"/>
      <c r="M93" s="2"/>
      <c r="BC93" s="164"/>
      <c r="BD93" s="164"/>
      <c r="BE93" s="164"/>
      <c r="BF93" s="164"/>
      <c r="BG93" s="164"/>
      <c r="BH93" s="164"/>
      <c r="BI93" s="164"/>
      <c r="BJ93" s="164"/>
      <c r="BK93" s="164"/>
      <c r="BL93" s="164"/>
      <c r="BM93" s="164"/>
      <c r="FA93" s="2"/>
      <c r="FB93" s="2"/>
      <c r="FC93" s="2"/>
      <c r="FD93" s="2"/>
      <c r="FE93" s="2"/>
      <c r="FF93" s="2"/>
      <c r="FG93" s="2"/>
      <c r="FH93" s="2"/>
      <c r="FI93" s="2"/>
      <c r="FJ93" s="2"/>
      <c r="FK93" s="2"/>
      <c r="FL93" s="2"/>
      <c r="FM93" s="2"/>
      <c r="FN93" s="2"/>
      <c r="FO93" s="2"/>
      <c r="FP93" s="2"/>
      <c r="FQ93" s="2"/>
      <c r="FR93" s="2"/>
      <c r="FS93" s="2"/>
      <c r="FT93" s="2"/>
      <c r="FU93" s="2"/>
      <c r="FV93" s="2"/>
      <c r="FW93" s="2"/>
      <c r="FX93" s="2"/>
      <c r="FY93" s="2"/>
      <c r="FZ93" s="2"/>
      <c r="GA93" s="2"/>
      <c r="GB93" s="2"/>
      <c r="GC93" s="2"/>
      <c r="GD93" s="2"/>
      <c r="GE93" s="2"/>
      <c r="GF93" s="2"/>
      <c r="GG93" s="2"/>
      <c r="GH93" s="2"/>
      <c r="GI93" s="2"/>
      <c r="GJ93" s="2"/>
      <c r="GK93" s="2"/>
      <c r="GL93" s="2"/>
      <c r="GM93" s="2"/>
      <c r="GN93" s="2"/>
      <c r="GO93" s="2"/>
      <c r="GP93" s="2"/>
      <c r="GQ93" s="2"/>
      <c r="GR93" s="2"/>
      <c r="GS93" s="2"/>
      <c r="GT93" s="2"/>
      <c r="GU93" s="2"/>
      <c r="GV93" s="2"/>
      <c r="GW93" s="2"/>
      <c r="GX93" s="2"/>
      <c r="GY93" s="2"/>
      <c r="GZ93" s="2"/>
      <c r="HA93" s="2"/>
      <c r="HB93" s="2"/>
      <c r="HC93" s="2"/>
      <c r="HD93" s="2"/>
      <c r="HE93" s="2"/>
      <c r="HF93" s="2"/>
      <c r="HG93" s="2"/>
      <c r="HH93" s="2"/>
      <c r="HI93" s="2"/>
      <c r="HJ93" s="2"/>
      <c r="HK93" s="2"/>
      <c r="HL93" s="2"/>
      <c r="HM93" s="2"/>
      <c r="HN93" s="2"/>
      <c r="HO93" s="2"/>
      <c r="HP93" s="2"/>
      <c r="HQ93" s="2"/>
      <c r="HR93" s="2"/>
      <c r="HS93" s="2"/>
      <c r="HT93" s="2"/>
      <c r="HU93" s="2"/>
      <c r="HV93" s="2"/>
      <c r="HW93" s="2"/>
      <c r="HX93" s="2"/>
      <c r="HY93" s="2"/>
      <c r="HZ93" s="2"/>
      <c r="IA93" s="2"/>
      <c r="IB93" s="2"/>
      <c r="IC93" s="2"/>
      <c r="ID93" s="2"/>
      <c r="IE93" s="2"/>
      <c r="IF93" s="2"/>
      <c r="II93" s="2"/>
      <c r="IJ93" s="3"/>
      <c r="IK93" s="3"/>
      <c r="IL93" s="3"/>
      <c r="IM93" s="2"/>
      <c r="IN93" s="2"/>
      <c r="IO93" s="2"/>
      <c r="IP93" s="2"/>
      <c r="IQ93" s="2"/>
      <c r="IR93" s="2"/>
      <c r="IS93" s="2"/>
      <c r="IT93" s="2"/>
      <c r="IU93" s="2"/>
      <c r="IV93" s="2"/>
    </row>
    <row r="94" spans="1:256">
      <c r="A94" s="2"/>
      <c r="B94" s="2"/>
      <c r="C94" s="2"/>
      <c r="D94" s="2"/>
      <c r="E94" s="2"/>
      <c r="F94" s="2"/>
      <c r="G94" s="2"/>
      <c r="H94" s="2"/>
      <c r="I94" s="2"/>
      <c r="J94" s="2"/>
      <c r="K94" s="2"/>
      <c r="L94" s="2"/>
      <c r="M94" s="2"/>
      <c r="BC94" s="164"/>
      <c r="BD94" s="164"/>
      <c r="BE94" s="164"/>
      <c r="BF94" s="164"/>
      <c r="BG94" s="164"/>
      <c r="BH94" s="164"/>
      <c r="BI94" s="164"/>
      <c r="BJ94" s="164"/>
      <c r="BK94" s="164"/>
      <c r="BL94" s="164"/>
      <c r="BM94" s="164"/>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c r="GQ94" s="2"/>
      <c r="GR94" s="2"/>
      <c r="GS94" s="2"/>
      <c r="GT94" s="2"/>
      <c r="GU94" s="2"/>
      <c r="GV94" s="2"/>
      <c r="GW94" s="2"/>
      <c r="GX94" s="2"/>
      <c r="GY94" s="2"/>
      <c r="GZ94" s="2"/>
      <c r="HA94" s="2"/>
      <c r="HB94" s="2"/>
      <c r="HC94" s="2"/>
      <c r="HD94" s="2"/>
      <c r="HE94" s="2"/>
      <c r="HF94" s="2"/>
      <c r="HG94" s="2"/>
      <c r="HH94" s="2"/>
      <c r="HI94" s="2"/>
      <c r="HJ94" s="2"/>
      <c r="HK94" s="2"/>
      <c r="HL94" s="2"/>
      <c r="HM94" s="2"/>
      <c r="HN94" s="2"/>
      <c r="HO94" s="2"/>
      <c r="HP94" s="2"/>
      <c r="HQ94" s="2"/>
      <c r="HR94" s="2"/>
      <c r="HS94" s="2"/>
      <c r="HT94" s="2"/>
      <c r="HU94" s="2"/>
      <c r="HV94" s="2"/>
      <c r="HW94" s="2"/>
      <c r="HX94" s="2"/>
      <c r="HY94" s="2"/>
      <c r="HZ94" s="2"/>
      <c r="IA94" s="2"/>
      <c r="IB94" s="2"/>
      <c r="IC94" s="2"/>
      <c r="ID94" s="2"/>
      <c r="IE94" s="2"/>
      <c r="IF94" s="2"/>
      <c r="II94" s="2"/>
      <c r="IJ94" s="3"/>
      <c r="IK94" s="3"/>
      <c r="IL94" s="3"/>
      <c r="IM94" s="2"/>
      <c r="IN94" s="2"/>
      <c r="IO94" s="2"/>
      <c r="IP94" s="2"/>
      <c r="IQ94" s="2"/>
      <c r="IR94" s="2"/>
      <c r="IS94" s="2"/>
      <c r="IT94" s="2"/>
      <c r="IU94" s="2"/>
      <c r="IV94" s="2"/>
    </row>
    <row r="95" spans="1:256">
      <c r="A95" s="2"/>
      <c r="B95" s="2"/>
      <c r="C95" s="2"/>
      <c r="D95" s="2"/>
      <c r="E95" s="2"/>
      <c r="F95" s="2"/>
      <c r="G95" s="2"/>
      <c r="H95" s="2"/>
      <c r="I95" s="2"/>
      <c r="J95" s="2"/>
      <c r="K95" s="2"/>
      <c r="L95" s="2"/>
      <c r="M95" s="2"/>
      <c r="BC95" s="164"/>
      <c r="BD95" s="164"/>
      <c r="BE95" s="164"/>
      <c r="BF95" s="164"/>
      <c r="BG95" s="164"/>
      <c r="BH95" s="164"/>
      <c r="BI95" s="164"/>
      <c r="BJ95" s="164"/>
      <c r="BK95" s="164"/>
      <c r="BL95" s="164"/>
      <c r="BM95" s="164"/>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c r="GQ95" s="2"/>
      <c r="GR95" s="2"/>
      <c r="GS95" s="2"/>
      <c r="GT95" s="2"/>
      <c r="GU95" s="2"/>
      <c r="GV95" s="2"/>
      <c r="GW95" s="2"/>
      <c r="GX95" s="2"/>
      <c r="GY95" s="2"/>
      <c r="GZ95" s="2"/>
      <c r="HA95" s="2"/>
      <c r="HB95" s="2"/>
      <c r="HC95" s="2"/>
      <c r="HD95" s="2"/>
      <c r="HE95" s="2"/>
      <c r="HF95" s="2"/>
      <c r="HG95" s="2"/>
      <c r="HH95" s="2"/>
      <c r="HI95" s="2"/>
      <c r="HJ95" s="2"/>
      <c r="HK95" s="2"/>
      <c r="HL95" s="2"/>
      <c r="HM95" s="2"/>
      <c r="HN95" s="2"/>
      <c r="HO95" s="2"/>
      <c r="HP95" s="2"/>
      <c r="HQ95" s="2"/>
      <c r="HR95" s="2"/>
      <c r="HS95" s="2"/>
      <c r="HT95" s="2"/>
      <c r="HU95" s="2"/>
      <c r="HV95" s="2"/>
      <c r="HW95" s="2"/>
      <c r="HX95" s="2"/>
      <c r="HY95" s="2"/>
      <c r="HZ95" s="2"/>
      <c r="IA95" s="2"/>
      <c r="IB95" s="2"/>
      <c r="IC95" s="2"/>
      <c r="ID95" s="2"/>
      <c r="IE95" s="2"/>
      <c r="IF95" s="2"/>
      <c r="II95" s="2"/>
      <c r="IJ95" s="3"/>
      <c r="IK95" s="3"/>
      <c r="IL95" s="3"/>
      <c r="IM95" s="2"/>
      <c r="IN95" s="2"/>
      <c r="IO95" s="2"/>
      <c r="IP95" s="2"/>
      <c r="IQ95" s="2"/>
      <c r="IR95" s="2"/>
      <c r="IS95" s="2"/>
      <c r="IT95" s="2"/>
      <c r="IU95" s="2"/>
      <c r="IV95" s="2"/>
    </row>
    <row r="96" spans="1:256">
      <c r="A96" s="2"/>
      <c r="B96" s="2"/>
      <c r="C96" s="2"/>
      <c r="D96" s="2"/>
      <c r="E96" s="2"/>
      <c r="F96" s="2"/>
      <c r="G96" s="2"/>
      <c r="H96" s="2"/>
      <c r="I96" s="2"/>
      <c r="J96" s="2"/>
      <c r="K96" s="2"/>
      <c r="L96" s="2"/>
      <c r="M96" s="2"/>
      <c r="BC96" s="164"/>
      <c r="BD96" s="164"/>
      <c r="BE96" s="164"/>
      <c r="BF96" s="164"/>
      <c r="BG96" s="164"/>
      <c r="BH96" s="164"/>
      <c r="BI96" s="164"/>
      <c r="BJ96" s="164"/>
      <c r="BK96" s="164"/>
      <c r="BL96" s="164"/>
      <c r="BM96" s="164"/>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c r="GQ96" s="2"/>
      <c r="GR96" s="2"/>
      <c r="GS96" s="2"/>
      <c r="GT96" s="2"/>
      <c r="GU96" s="2"/>
      <c r="GV96" s="2"/>
      <c r="GW96" s="2"/>
      <c r="GX96" s="2"/>
      <c r="GY96" s="2"/>
      <c r="GZ96" s="2"/>
      <c r="HA96" s="2"/>
      <c r="HB96" s="2"/>
      <c r="HC96" s="2"/>
      <c r="HD96" s="2"/>
      <c r="HE96" s="2"/>
      <c r="HF96" s="2"/>
      <c r="HG96" s="2"/>
      <c r="HH96" s="2"/>
      <c r="HI96" s="2"/>
      <c r="HJ96" s="2"/>
      <c r="HK96" s="2"/>
      <c r="HL96" s="2"/>
      <c r="HM96" s="2"/>
      <c r="HN96" s="2"/>
      <c r="HO96" s="2"/>
      <c r="HP96" s="2"/>
      <c r="HQ96" s="2"/>
      <c r="HR96" s="2"/>
      <c r="HS96" s="2"/>
      <c r="HT96" s="2"/>
      <c r="HU96" s="2"/>
      <c r="HV96" s="2"/>
      <c r="HW96" s="2"/>
      <c r="HX96" s="2"/>
      <c r="HY96" s="2"/>
      <c r="HZ96" s="2"/>
      <c r="IA96" s="2"/>
      <c r="IB96" s="2"/>
      <c r="IC96" s="2"/>
      <c r="ID96" s="2"/>
      <c r="IE96" s="2"/>
      <c r="IF96" s="2"/>
      <c r="II96" s="2"/>
      <c r="IJ96" s="3"/>
      <c r="IK96" s="3"/>
      <c r="IL96" s="3"/>
      <c r="IM96" s="2"/>
      <c r="IN96" s="2"/>
      <c r="IO96" s="2"/>
      <c r="IP96" s="2"/>
      <c r="IQ96" s="2"/>
      <c r="IR96" s="2"/>
      <c r="IS96" s="2"/>
      <c r="IT96" s="2"/>
      <c r="IU96" s="2"/>
      <c r="IV96" s="2"/>
    </row>
    <row r="97" spans="1:256">
      <c r="A97" s="2"/>
      <c r="B97" s="2"/>
      <c r="C97" s="2"/>
      <c r="D97" s="2"/>
      <c r="E97" s="2"/>
      <c r="F97" s="2"/>
      <c r="G97" s="2"/>
      <c r="H97" s="2"/>
      <c r="I97" s="2"/>
      <c r="J97" s="2"/>
      <c r="K97" s="2"/>
      <c r="L97" s="2"/>
      <c r="M97" s="2"/>
      <c r="BC97" s="164"/>
      <c r="BD97" s="164"/>
      <c r="BE97" s="164"/>
      <c r="BF97" s="164"/>
      <c r="BG97" s="164"/>
      <c r="BH97" s="164"/>
      <c r="BI97" s="164"/>
      <c r="BJ97" s="164"/>
      <c r="BK97" s="164"/>
      <c r="BL97" s="164"/>
      <c r="BM97" s="164"/>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c r="GQ97" s="2"/>
      <c r="GR97" s="2"/>
      <c r="GS97" s="2"/>
      <c r="GT97" s="2"/>
      <c r="GU97" s="2"/>
      <c r="GV97" s="2"/>
      <c r="GW97" s="2"/>
      <c r="GX97" s="2"/>
      <c r="GY97" s="2"/>
      <c r="GZ97" s="2"/>
      <c r="HA97" s="2"/>
      <c r="HB97" s="2"/>
      <c r="HC97" s="2"/>
      <c r="HD97" s="2"/>
      <c r="HE97" s="2"/>
      <c r="HF97" s="2"/>
      <c r="HG97" s="2"/>
      <c r="HH97" s="2"/>
      <c r="HI97" s="2"/>
      <c r="HJ97" s="2"/>
      <c r="HK97" s="2"/>
      <c r="HL97" s="2"/>
      <c r="HM97" s="2"/>
      <c r="HN97" s="2"/>
      <c r="HO97" s="2"/>
      <c r="HP97" s="2"/>
      <c r="HQ97" s="2"/>
      <c r="HR97" s="2"/>
      <c r="HS97" s="2"/>
      <c r="HT97" s="2"/>
      <c r="HU97" s="2"/>
      <c r="HV97" s="2"/>
      <c r="HW97" s="2"/>
      <c r="HX97" s="2"/>
      <c r="HY97" s="2"/>
      <c r="HZ97" s="2"/>
      <c r="IA97" s="2"/>
      <c r="IB97" s="2"/>
      <c r="IC97" s="2"/>
      <c r="ID97" s="2"/>
      <c r="IE97" s="2"/>
      <c r="IF97" s="2"/>
      <c r="II97" s="2"/>
      <c r="IJ97" s="3"/>
      <c r="IK97" s="3"/>
      <c r="IL97" s="3"/>
      <c r="IM97" s="2"/>
      <c r="IN97" s="2"/>
      <c r="IO97" s="2"/>
      <c r="IP97" s="2"/>
      <c r="IQ97" s="2"/>
      <c r="IR97" s="2"/>
      <c r="IS97" s="2"/>
      <c r="IT97" s="2"/>
      <c r="IU97" s="2"/>
      <c r="IV97" s="2"/>
    </row>
    <row r="98" spans="1:256">
      <c r="A98" s="2"/>
      <c r="B98" s="2"/>
      <c r="C98" s="2"/>
      <c r="D98" s="2"/>
      <c r="E98" s="2"/>
      <c r="F98" s="2"/>
      <c r="G98" s="2"/>
      <c r="H98" s="2"/>
      <c r="I98" s="2"/>
      <c r="J98" s="2"/>
      <c r="K98" s="2"/>
      <c r="L98" s="2"/>
      <c r="M98" s="2"/>
      <c r="BC98" s="164"/>
      <c r="BD98" s="164"/>
      <c r="BE98" s="164"/>
      <c r="BF98" s="164"/>
      <c r="BG98" s="164"/>
      <c r="BH98" s="164"/>
      <c r="BI98" s="164"/>
      <c r="BJ98" s="164"/>
      <c r="BK98" s="164"/>
      <c r="BL98" s="164"/>
      <c r="BM98" s="164"/>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c r="GQ98" s="2"/>
      <c r="GR98" s="2"/>
      <c r="GS98" s="2"/>
      <c r="GT98" s="2"/>
      <c r="GU98" s="2"/>
      <c r="GV98" s="2"/>
      <c r="GW98" s="2"/>
      <c r="GX98" s="2"/>
      <c r="GY98" s="2"/>
      <c r="GZ98" s="2"/>
      <c r="HA98" s="2"/>
      <c r="HB98" s="2"/>
      <c r="HC98" s="2"/>
      <c r="HD98" s="2"/>
      <c r="HE98" s="2"/>
      <c r="HF98" s="2"/>
      <c r="HG98" s="2"/>
      <c r="HH98" s="2"/>
      <c r="HI98" s="2"/>
      <c r="HJ98" s="2"/>
      <c r="HK98" s="2"/>
      <c r="HL98" s="2"/>
      <c r="HM98" s="2"/>
      <c r="HN98" s="2"/>
      <c r="HO98" s="2"/>
      <c r="HP98" s="2"/>
      <c r="HQ98" s="2"/>
      <c r="HR98" s="2"/>
      <c r="HS98" s="2"/>
      <c r="HT98" s="2"/>
      <c r="HU98" s="2"/>
      <c r="HV98" s="2"/>
      <c r="HW98" s="2"/>
      <c r="HX98" s="2"/>
      <c r="HY98" s="2"/>
      <c r="HZ98" s="2"/>
      <c r="IA98" s="2"/>
      <c r="IB98" s="2"/>
      <c r="IC98" s="2"/>
      <c r="ID98" s="2"/>
      <c r="IE98" s="2"/>
      <c r="IF98" s="2"/>
      <c r="II98" s="2"/>
      <c r="IJ98" s="3"/>
      <c r="IK98" s="3"/>
      <c r="IL98" s="3"/>
      <c r="IM98" s="2"/>
      <c r="IN98" s="2"/>
      <c r="IO98" s="2"/>
      <c r="IP98" s="2"/>
      <c r="IQ98" s="2"/>
      <c r="IR98" s="2"/>
      <c r="IS98" s="2"/>
      <c r="IT98" s="2"/>
      <c r="IU98" s="2"/>
      <c r="IV98" s="2"/>
    </row>
    <row r="99" spans="1:256">
      <c r="A99" s="2"/>
      <c r="B99" s="2"/>
      <c r="C99" s="2"/>
      <c r="D99" s="2"/>
      <c r="E99" s="2"/>
      <c r="F99" s="2"/>
      <c r="G99" s="2"/>
      <c r="H99" s="2"/>
      <c r="I99" s="2"/>
      <c r="J99" s="2"/>
      <c r="K99" s="2"/>
      <c r="L99" s="2"/>
      <c r="M99" s="2"/>
      <c r="BC99" s="164"/>
      <c r="BD99" s="164"/>
      <c r="BE99" s="164"/>
      <c r="BF99" s="164"/>
      <c r="BG99" s="164"/>
      <c r="BH99" s="164"/>
      <c r="BI99" s="164"/>
      <c r="BJ99" s="164"/>
      <c r="BK99" s="164"/>
      <c r="BL99" s="164"/>
      <c r="BM99" s="164"/>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c r="GQ99" s="2"/>
      <c r="GR99" s="2"/>
      <c r="GS99" s="2"/>
      <c r="GT99" s="2"/>
      <c r="GU99" s="2"/>
      <c r="GV99" s="2"/>
      <c r="GW99" s="2"/>
      <c r="GX99" s="2"/>
      <c r="GY99" s="2"/>
      <c r="GZ99" s="2"/>
      <c r="HA99" s="2"/>
      <c r="HB99" s="2"/>
      <c r="HC99" s="2"/>
      <c r="HD99" s="2"/>
      <c r="HE99" s="2"/>
      <c r="HF99" s="2"/>
      <c r="HG99" s="2"/>
      <c r="HH99" s="2"/>
      <c r="HI99" s="2"/>
      <c r="HJ99" s="2"/>
      <c r="HK99" s="2"/>
      <c r="HL99" s="2"/>
      <c r="HM99" s="2"/>
      <c r="HN99" s="2"/>
      <c r="HO99" s="2"/>
      <c r="HP99" s="2"/>
      <c r="HQ99" s="2"/>
      <c r="HR99" s="2"/>
      <c r="HS99" s="2"/>
      <c r="HT99" s="2"/>
      <c r="HU99" s="2"/>
      <c r="HV99" s="2"/>
      <c r="HW99" s="2"/>
      <c r="HX99" s="2"/>
      <c r="HY99" s="2"/>
      <c r="HZ99" s="2"/>
      <c r="IA99" s="2"/>
      <c r="IB99" s="2"/>
      <c r="IC99" s="2"/>
      <c r="ID99" s="2"/>
      <c r="IE99" s="2"/>
      <c r="IF99" s="2"/>
      <c r="II99" s="2"/>
      <c r="IJ99" s="3"/>
      <c r="IK99" s="3"/>
      <c r="IL99" s="3"/>
      <c r="IM99" s="2"/>
      <c r="IN99" s="2"/>
      <c r="IO99" s="2"/>
      <c r="IP99" s="2"/>
      <c r="IQ99" s="2"/>
      <c r="IR99" s="2"/>
      <c r="IS99" s="2"/>
      <c r="IT99" s="2"/>
      <c r="IU99" s="2"/>
      <c r="IV99" s="2"/>
    </row>
    <row r="100" spans="1:256">
      <c r="A100" s="2"/>
      <c r="B100" s="2"/>
      <c r="C100" s="2"/>
      <c r="D100" s="2"/>
      <c r="E100" s="2"/>
      <c r="F100" s="2"/>
      <c r="G100" s="2"/>
      <c r="H100" s="2"/>
      <c r="I100" s="2"/>
      <c r="J100" s="2"/>
      <c r="K100" s="2"/>
      <c r="L100" s="2"/>
      <c r="M100" s="2"/>
      <c r="BC100" s="164"/>
      <c r="BD100" s="164"/>
      <c r="BE100" s="164"/>
      <c r="BF100" s="164"/>
      <c r="BG100" s="164"/>
      <c r="BH100" s="164"/>
      <c r="BI100" s="164"/>
      <c r="BJ100" s="164"/>
      <c r="BK100" s="164"/>
      <c r="BL100" s="164"/>
      <c r="BM100" s="164"/>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c r="GQ100" s="2"/>
      <c r="GR100" s="2"/>
      <c r="GS100" s="2"/>
      <c r="GT100" s="2"/>
      <c r="GU100" s="2"/>
      <c r="GV100" s="2"/>
      <c r="GW100" s="2"/>
      <c r="GX100" s="2"/>
      <c r="GY100" s="2"/>
      <c r="GZ100" s="2"/>
      <c r="HA100" s="2"/>
      <c r="HB100" s="2"/>
      <c r="HC100" s="2"/>
      <c r="HD100" s="2"/>
      <c r="HE100" s="2"/>
      <c r="HF100" s="2"/>
      <c r="HG100" s="2"/>
      <c r="HH100" s="2"/>
      <c r="HI100" s="2"/>
      <c r="HJ100" s="2"/>
      <c r="HK100" s="2"/>
      <c r="HL100" s="2"/>
      <c r="HM100" s="2"/>
      <c r="HN100" s="2"/>
      <c r="HO100" s="2"/>
      <c r="HP100" s="2"/>
      <c r="HQ100" s="2"/>
      <c r="HR100" s="2"/>
      <c r="HS100" s="2"/>
      <c r="HT100" s="2"/>
      <c r="HU100" s="2"/>
      <c r="HV100" s="2"/>
      <c r="HW100" s="2"/>
      <c r="HX100" s="2"/>
      <c r="HY100" s="2"/>
      <c r="HZ100" s="2"/>
      <c r="IA100" s="2"/>
      <c r="IB100" s="2"/>
      <c r="IC100" s="2"/>
      <c r="ID100" s="2"/>
      <c r="IE100" s="2"/>
      <c r="IF100" s="2"/>
      <c r="II100" s="2"/>
      <c r="IJ100" s="3"/>
      <c r="IK100" s="3"/>
      <c r="IL100" s="3"/>
      <c r="IM100" s="2"/>
      <c r="IN100" s="2"/>
      <c r="IO100" s="2"/>
      <c r="IP100" s="2"/>
      <c r="IQ100" s="2"/>
      <c r="IR100" s="2"/>
      <c r="IS100" s="2"/>
      <c r="IT100" s="2"/>
      <c r="IU100" s="2"/>
      <c r="IV100" s="2"/>
    </row>
    <row r="101" spans="1:256">
      <c r="A101" s="2"/>
      <c r="B101" s="2"/>
      <c r="C101" s="2"/>
      <c r="D101" s="2"/>
      <c r="E101" s="2"/>
      <c r="F101" s="2"/>
      <c r="G101" s="2"/>
      <c r="H101" s="2"/>
      <c r="I101" s="2"/>
      <c r="J101" s="2"/>
      <c r="K101" s="2"/>
      <c r="L101" s="2"/>
      <c r="M101" s="2"/>
      <c r="BC101" s="164"/>
      <c r="BD101" s="164"/>
      <c r="BE101" s="164"/>
      <c r="BF101" s="164"/>
      <c r="BG101" s="164"/>
      <c r="BH101" s="164"/>
      <c r="BI101" s="164"/>
      <c r="BJ101" s="164"/>
      <c r="BK101" s="164"/>
      <c r="BL101" s="164"/>
      <c r="BM101" s="164"/>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c r="GQ101" s="2"/>
      <c r="GR101" s="2"/>
      <c r="GS101" s="2"/>
      <c r="GT101" s="2"/>
      <c r="GU101" s="2"/>
      <c r="GV101" s="2"/>
      <c r="GW101" s="2"/>
      <c r="GX101" s="2"/>
      <c r="GY101" s="2"/>
      <c r="GZ101" s="2"/>
      <c r="HA101" s="2"/>
      <c r="HB101" s="2"/>
      <c r="HC101" s="2"/>
      <c r="HD101" s="2"/>
      <c r="HE101" s="2"/>
      <c r="HF101" s="2"/>
      <c r="HG101" s="2"/>
      <c r="HH101" s="2"/>
      <c r="HI101" s="2"/>
      <c r="HJ101" s="2"/>
      <c r="HK101" s="2"/>
      <c r="HL101" s="2"/>
      <c r="HM101" s="2"/>
      <c r="HN101" s="2"/>
      <c r="HO101" s="2"/>
      <c r="HP101" s="2"/>
      <c r="HQ101" s="2"/>
      <c r="HR101" s="2"/>
      <c r="HS101" s="2"/>
      <c r="HT101" s="2"/>
      <c r="HU101" s="2"/>
      <c r="HV101" s="2"/>
      <c r="HW101" s="2"/>
      <c r="HX101" s="2"/>
      <c r="HY101" s="2"/>
      <c r="HZ101" s="2"/>
      <c r="IA101" s="2"/>
      <c r="IB101" s="2"/>
      <c r="IC101" s="2"/>
      <c r="ID101" s="2"/>
      <c r="IE101" s="2"/>
      <c r="IF101" s="2"/>
      <c r="II101" s="2"/>
      <c r="IJ101" s="3"/>
      <c r="IK101" s="3"/>
      <c r="IL101" s="3"/>
      <c r="IM101" s="2"/>
      <c r="IN101" s="2"/>
      <c r="IO101" s="2"/>
      <c r="IP101" s="2"/>
      <c r="IQ101" s="2"/>
      <c r="IR101" s="2"/>
      <c r="IS101" s="2"/>
      <c r="IT101" s="2"/>
      <c r="IU101" s="2"/>
      <c r="IV101" s="2"/>
    </row>
    <row r="102" spans="1:256">
      <c r="A102" s="2"/>
      <c r="B102" s="2"/>
      <c r="C102" s="2"/>
      <c r="D102" s="2"/>
      <c r="E102" s="2"/>
      <c r="F102" s="2"/>
      <c r="G102" s="2"/>
      <c r="H102" s="2"/>
      <c r="I102" s="2"/>
      <c r="J102" s="2"/>
      <c r="K102" s="2"/>
      <c r="L102" s="2"/>
      <c r="M102" s="2"/>
      <c r="BC102" s="164"/>
      <c r="BD102" s="164"/>
      <c r="BE102" s="164"/>
      <c r="BF102" s="164"/>
      <c r="BG102" s="164"/>
      <c r="BH102" s="164"/>
      <c r="BI102" s="164"/>
      <c r="BJ102" s="164"/>
      <c r="BK102" s="164"/>
      <c r="BL102" s="164"/>
      <c r="BM102" s="164"/>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c r="GQ102" s="2"/>
      <c r="GR102" s="2"/>
      <c r="GS102" s="2"/>
      <c r="GT102" s="2"/>
      <c r="GU102" s="2"/>
      <c r="GV102" s="2"/>
      <c r="GW102" s="2"/>
      <c r="GX102" s="2"/>
      <c r="GY102" s="2"/>
      <c r="GZ102" s="2"/>
      <c r="HA102" s="2"/>
      <c r="HB102" s="2"/>
      <c r="HC102" s="2"/>
      <c r="HD102" s="2"/>
      <c r="HE102" s="2"/>
      <c r="HF102" s="2"/>
      <c r="HG102" s="2"/>
      <c r="HH102" s="2"/>
      <c r="HI102" s="2"/>
      <c r="HJ102" s="2"/>
      <c r="HK102" s="2"/>
      <c r="HL102" s="2"/>
      <c r="HM102" s="2"/>
      <c r="HN102" s="2"/>
      <c r="HO102" s="2"/>
      <c r="HP102" s="2"/>
      <c r="HQ102" s="2"/>
      <c r="HR102" s="2"/>
      <c r="HS102" s="2"/>
      <c r="HT102" s="2"/>
      <c r="HU102" s="2"/>
      <c r="HV102" s="2"/>
      <c r="HW102" s="2"/>
      <c r="HX102" s="2"/>
      <c r="HY102" s="2"/>
      <c r="HZ102" s="2"/>
      <c r="IA102" s="2"/>
      <c r="IB102" s="2"/>
      <c r="IC102" s="2"/>
      <c r="ID102" s="2"/>
      <c r="IE102" s="2"/>
      <c r="IF102" s="2"/>
      <c r="II102" s="2"/>
      <c r="IJ102" s="3"/>
      <c r="IK102" s="3"/>
      <c r="IL102" s="3"/>
      <c r="IM102" s="2"/>
      <c r="IN102" s="2"/>
      <c r="IO102" s="2"/>
      <c r="IP102" s="2"/>
      <c r="IQ102" s="2"/>
      <c r="IR102" s="2"/>
      <c r="IS102" s="2"/>
      <c r="IT102" s="2"/>
      <c r="IU102" s="2"/>
      <c r="IV102" s="2"/>
    </row>
    <row r="103" spans="1:256">
      <c r="A103" s="2"/>
      <c r="B103" s="2"/>
      <c r="C103" s="2"/>
      <c r="D103" s="2"/>
      <c r="E103" s="2"/>
      <c r="F103" s="2"/>
      <c r="G103" s="2"/>
      <c r="H103" s="2"/>
      <c r="I103" s="2"/>
      <c r="J103" s="2"/>
      <c r="K103" s="2"/>
      <c r="L103" s="2"/>
      <c r="M103" s="2"/>
      <c r="BC103" s="164"/>
      <c r="BD103" s="164"/>
      <c r="BE103" s="164"/>
      <c r="BF103" s="164"/>
      <c r="BG103" s="164"/>
      <c r="BH103" s="164"/>
      <c r="BI103" s="164"/>
      <c r="BJ103" s="164"/>
      <c r="BK103" s="164"/>
      <c r="BL103" s="164"/>
      <c r="BM103" s="164"/>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c r="GQ103" s="2"/>
      <c r="GR103" s="2"/>
      <c r="GS103" s="2"/>
      <c r="GT103" s="2"/>
      <c r="GU103" s="2"/>
      <c r="GV103" s="2"/>
      <c r="GW103" s="2"/>
      <c r="GX103" s="2"/>
      <c r="GY103" s="2"/>
      <c r="GZ103" s="2"/>
      <c r="HA103" s="2"/>
      <c r="HB103" s="2"/>
      <c r="HC103" s="2"/>
      <c r="HD103" s="2"/>
      <c r="HE103" s="2"/>
      <c r="HF103" s="2"/>
      <c r="HG103" s="2"/>
      <c r="HH103" s="2"/>
      <c r="HI103" s="2"/>
      <c r="HJ103" s="2"/>
      <c r="HK103" s="2"/>
      <c r="HL103" s="2"/>
      <c r="HM103" s="2"/>
      <c r="HN103" s="2"/>
      <c r="HO103" s="2"/>
      <c r="HP103" s="2"/>
      <c r="HQ103" s="2"/>
      <c r="HR103" s="2"/>
      <c r="HS103" s="2"/>
      <c r="HT103" s="2"/>
      <c r="HU103" s="2"/>
      <c r="HV103" s="2"/>
      <c r="HW103" s="2"/>
      <c r="HX103" s="2"/>
      <c r="HY103" s="2"/>
      <c r="HZ103" s="2"/>
      <c r="IA103" s="2"/>
      <c r="IB103" s="2"/>
      <c r="IC103" s="2"/>
      <c r="ID103" s="2"/>
      <c r="IE103" s="2"/>
      <c r="IF103" s="2"/>
      <c r="II103" s="2"/>
      <c r="IJ103" s="3"/>
      <c r="IK103" s="3"/>
      <c r="IL103" s="3"/>
      <c r="IM103" s="2"/>
      <c r="IN103" s="2"/>
      <c r="IO103" s="2"/>
      <c r="IP103" s="2"/>
      <c r="IQ103" s="2"/>
      <c r="IR103" s="2"/>
      <c r="IS103" s="2"/>
      <c r="IT103" s="2"/>
      <c r="IU103" s="2"/>
      <c r="IV103" s="2"/>
    </row>
    <row r="104" spans="1:256">
      <c r="A104" s="2"/>
      <c r="B104" s="2"/>
      <c r="C104" s="2"/>
      <c r="D104" s="2"/>
      <c r="E104" s="2"/>
      <c r="F104" s="2"/>
      <c r="G104" s="2"/>
      <c r="H104" s="2"/>
      <c r="I104" s="2"/>
      <c r="J104" s="2"/>
      <c r="K104" s="2"/>
      <c r="L104" s="2"/>
      <c r="M104" s="2"/>
      <c r="BC104" s="164"/>
      <c r="BD104" s="164"/>
      <c r="BE104" s="164"/>
      <c r="BF104" s="164"/>
      <c r="BG104" s="164"/>
      <c r="BH104" s="164"/>
      <c r="BI104" s="164"/>
      <c r="BJ104" s="164"/>
      <c r="BK104" s="164"/>
      <c r="BL104" s="164"/>
      <c r="BM104" s="164"/>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c r="GQ104" s="2"/>
      <c r="GR104" s="2"/>
      <c r="GS104" s="2"/>
      <c r="GT104" s="2"/>
      <c r="GU104" s="2"/>
      <c r="GV104" s="2"/>
      <c r="GW104" s="2"/>
      <c r="GX104" s="2"/>
      <c r="GY104" s="2"/>
      <c r="GZ104" s="2"/>
      <c r="HA104" s="2"/>
      <c r="HB104" s="2"/>
      <c r="HC104" s="2"/>
      <c r="HD104" s="2"/>
      <c r="HE104" s="2"/>
      <c r="HF104" s="2"/>
      <c r="HG104" s="2"/>
      <c r="HH104" s="2"/>
      <c r="HI104" s="2"/>
      <c r="HJ104" s="2"/>
      <c r="HK104" s="2"/>
      <c r="HL104" s="2"/>
      <c r="HM104" s="2"/>
      <c r="HN104" s="2"/>
      <c r="HO104" s="2"/>
      <c r="HP104" s="2"/>
      <c r="HQ104" s="2"/>
      <c r="HR104" s="2"/>
      <c r="HS104" s="2"/>
      <c r="HT104" s="2"/>
      <c r="HU104" s="2"/>
      <c r="HV104" s="2"/>
      <c r="HW104" s="2"/>
      <c r="HX104" s="2"/>
      <c r="HY104" s="2"/>
      <c r="HZ104" s="2"/>
      <c r="IA104" s="2"/>
      <c r="IB104" s="2"/>
      <c r="IC104" s="2"/>
      <c r="ID104" s="2"/>
      <c r="IE104" s="2"/>
      <c r="IF104" s="2"/>
      <c r="II104" s="2"/>
      <c r="IJ104" s="3"/>
      <c r="IK104" s="3"/>
      <c r="IL104" s="3"/>
      <c r="IM104" s="2"/>
      <c r="IN104" s="2"/>
      <c r="IO104" s="2"/>
      <c r="IP104" s="2"/>
      <c r="IQ104" s="2"/>
      <c r="IR104" s="2"/>
      <c r="IS104" s="2"/>
      <c r="IT104" s="2"/>
      <c r="IU104" s="2"/>
      <c r="IV104" s="2"/>
    </row>
    <row r="105" spans="1:256">
      <c r="A105" s="2"/>
      <c r="B105" s="2"/>
      <c r="C105" s="2"/>
      <c r="D105" s="2"/>
      <c r="E105" s="2"/>
      <c r="F105" s="2"/>
      <c r="G105" s="2"/>
      <c r="H105" s="2"/>
      <c r="I105" s="2"/>
      <c r="J105" s="2"/>
      <c r="K105" s="2"/>
      <c r="L105" s="2"/>
      <c r="M105" s="2"/>
      <c r="BC105" s="164"/>
      <c r="BD105" s="164"/>
      <c r="BE105" s="164"/>
      <c r="BF105" s="164"/>
      <c r="BG105" s="164"/>
      <c r="BH105" s="164"/>
      <c r="BI105" s="164"/>
      <c r="BJ105" s="164"/>
      <c r="BK105" s="164"/>
      <c r="BL105" s="164"/>
      <c r="BM105" s="164"/>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c r="GQ105" s="2"/>
      <c r="GR105" s="2"/>
      <c r="GS105" s="2"/>
      <c r="GT105" s="2"/>
      <c r="GU105" s="2"/>
      <c r="GV105" s="2"/>
      <c r="GW105" s="2"/>
      <c r="GX105" s="2"/>
      <c r="GY105" s="2"/>
      <c r="GZ105" s="2"/>
      <c r="HA105" s="2"/>
      <c r="HB105" s="2"/>
      <c r="HC105" s="2"/>
      <c r="HD105" s="2"/>
      <c r="HE105" s="2"/>
      <c r="HF105" s="2"/>
      <c r="HG105" s="2"/>
      <c r="HH105" s="2"/>
      <c r="HI105" s="2"/>
      <c r="HJ105" s="2"/>
      <c r="HK105" s="2"/>
      <c r="HL105" s="2"/>
      <c r="HM105" s="2"/>
      <c r="HN105" s="2"/>
      <c r="HO105" s="2"/>
      <c r="HP105" s="2"/>
      <c r="HQ105" s="2"/>
      <c r="HR105" s="2"/>
      <c r="HS105" s="2"/>
      <c r="HT105" s="2"/>
      <c r="HU105" s="2"/>
      <c r="HV105" s="2"/>
      <c r="HW105" s="2"/>
      <c r="HX105" s="2"/>
      <c r="HY105" s="2"/>
      <c r="HZ105" s="2"/>
      <c r="IA105" s="2"/>
      <c r="IB105" s="2"/>
      <c r="IC105" s="2"/>
      <c r="ID105" s="2"/>
      <c r="IE105" s="2"/>
      <c r="IF105" s="2"/>
      <c r="II105" s="2"/>
      <c r="IJ105" s="3"/>
      <c r="IK105" s="3"/>
      <c r="IL105" s="3"/>
      <c r="IM105" s="2"/>
      <c r="IN105" s="2"/>
      <c r="IO105" s="2"/>
      <c r="IP105" s="2"/>
      <c r="IQ105" s="2"/>
      <c r="IR105" s="2"/>
      <c r="IS105" s="2"/>
      <c r="IT105" s="2"/>
      <c r="IU105" s="2"/>
      <c r="IV105" s="2"/>
    </row>
    <row r="106" spans="1:256" ht="14.25" customHeight="1">
      <c r="A106" s="2"/>
      <c r="B106" s="2"/>
      <c r="C106" s="2"/>
      <c r="D106" s="2"/>
      <c r="E106" s="2"/>
      <c r="F106" s="2"/>
      <c r="G106" s="2"/>
      <c r="H106" s="2"/>
      <c r="I106" s="2"/>
      <c r="J106" s="2"/>
      <c r="K106" s="2"/>
      <c r="L106" s="2"/>
      <c r="M106" s="2"/>
      <c r="BC106" s="164"/>
      <c r="BD106" s="164"/>
      <c r="BE106" s="164"/>
      <c r="BF106" s="164"/>
      <c r="BG106" s="164"/>
      <c r="BH106" s="164"/>
      <c r="BI106" s="164"/>
      <c r="BJ106" s="164"/>
      <c r="BK106" s="164"/>
      <c r="BL106" s="164"/>
      <c r="BM106" s="164"/>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c r="GQ106" s="2"/>
      <c r="GR106" s="2"/>
      <c r="GS106" s="2"/>
      <c r="GT106" s="2"/>
      <c r="GU106" s="2"/>
      <c r="GV106" s="2"/>
      <c r="GW106" s="2"/>
      <c r="GX106" s="2"/>
      <c r="GY106" s="2"/>
      <c r="GZ106" s="2"/>
      <c r="HA106" s="2"/>
      <c r="HB106" s="2"/>
      <c r="HC106" s="2"/>
      <c r="HD106" s="2"/>
      <c r="HE106" s="2"/>
      <c r="HF106" s="2"/>
      <c r="HG106" s="2"/>
      <c r="HH106" s="2"/>
      <c r="HI106" s="2"/>
      <c r="HJ106" s="2"/>
      <c r="HK106" s="2"/>
      <c r="HL106" s="2"/>
      <c r="HM106" s="2"/>
      <c r="HN106" s="2"/>
      <c r="HO106" s="2"/>
      <c r="HP106" s="2"/>
      <c r="HQ106" s="2"/>
      <c r="HR106" s="2"/>
      <c r="HS106" s="2"/>
      <c r="HT106" s="2"/>
      <c r="HU106" s="2"/>
      <c r="HV106" s="2"/>
      <c r="HW106" s="2"/>
      <c r="HX106" s="2"/>
      <c r="HY106" s="2"/>
      <c r="HZ106" s="2"/>
      <c r="IA106" s="2"/>
      <c r="IB106" s="2"/>
      <c r="IC106" s="2"/>
      <c r="ID106" s="2"/>
      <c r="IE106" s="2"/>
      <c r="IF106" s="2"/>
      <c r="II106" s="2"/>
      <c r="IJ106" s="3"/>
      <c r="IK106" s="3"/>
      <c r="IL106" s="3"/>
      <c r="IM106" s="2"/>
      <c r="IN106" s="2"/>
      <c r="IO106" s="2"/>
      <c r="IP106" s="2"/>
      <c r="IQ106" s="2"/>
      <c r="IR106" s="2"/>
      <c r="IS106" s="2"/>
      <c r="IT106" s="2"/>
      <c r="IU106" s="2"/>
      <c r="IV106" s="2"/>
    </row>
    <row r="107" spans="1:256" ht="13.5" customHeight="1">
      <c r="A107" s="2"/>
      <c r="B107" s="2"/>
      <c r="C107" s="2"/>
      <c r="D107" s="2"/>
      <c r="E107" s="2"/>
      <c r="F107" s="2"/>
      <c r="G107" s="2"/>
      <c r="H107" s="2"/>
      <c r="I107" s="2"/>
      <c r="J107" s="2"/>
      <c r="K107" s="2"/>
      <c r="L107" s="2"/>
      <c r="M107" s="2"/>
      <c r="BC107" s="164"/>
      <c r="BD107" s="164"/>
      <c r="BE107" s="164"/>
      <c r="BF107" s="164"/>
      <c r="BG107" s="164"/>
      <c r="BH107" s="164"/>
      <c r="BI107" s="164"/>
      <c r="BJ107" s="164"/>
      <c r="BK107" s="164"/>
      <c r="BL107" s="164"/>
      <c r="BM107" s="164"/>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c r="GQ107" s="2"/>
      <c r="GR107" s="2"/>
      <c r="GS107" s="2"/>
      <c r="GT107" s="2"/>
      <c r="GU107" s="2"/>
      <c r="GV107" s="2"/>
      <c r="GW107" s="2"/>
      <c r="GX107" s="2"/>
      <c r="GY107" s="2"/>
      <c r="GZ107" s="2"/>
      <c r="HA107" s="2"/>
      <c r="HB107" s="2"/>
      <c r="HC107" s="2"/>
      <c r="HD107" s="2"/>
      <c r="HE107" s="2"/>
      <c r="HF107" s="2"/>
      <c r="HG107" s="2"/>
      <c r="HH107" s="2"/>
      <c r="HI107" s="2"/>
      <c r="HJ107" s="2"/>
      <c r="HK107" s="2"/>
      <c r="HL107" s="2"/>
      <c r="HM107" s="2"/>
      <c r="HN107" s="2"/>
      <c r="HO107" s="2"/>
      <c r="HP107" s="2"/>
      <c r="HQ107" s="2"/>
      <c r="HR107" s="2"/>
      <c r="HS107" s="2"/>
      <c r="HT107" s="2"/>
      <c r="HU107" s="2"/>
      <c r="HV107" s="2"/>
      <c r="HW107" s="2"/>
      <c r="HX107" s="2"/>
      <c r="HY107" s="2"/>
      <c r="HZ107" s="2"/>
      <c r="IA107" s="2"/>
      <c r="IB107" s="2"/>
      <c r="IC107" s="2"/>
      <c r="ID107" s="2"/>
      <c r="IE107" s="2"/>
      <c r="IF107" s="2"/>
      <c r="II107" s="2"/>
      <c r="IJ107" s="3"/>
      <c r="IK107" s="3"/>
      <c r="IL107" s="3"/>
      <c r="IM107" s="2"/>
      <c r="IN107" s="2"/>
      <c r="IO107" s="2"/>
      <c r="IP107" s="2"/>
      <c r="IQ107" s="2"/>
      <c r="IR107" s="2"/>
      <c r="IS107" s="2"/>
      <c r="IT107" s="2"/>
      <c r="IU107" s="2"/>
      <c r="IV107" s="2"/>
    </row>
    <row r="108" spans="1:256" ht="13.5" customHeight="1">
      <c r="A108" s="2"/>
      <c r="B108" s="2"/>
      <c r="C108" s="2"/>
      <c r="D108" s="2"/>
      <c r="E108" s="2"/>
      <c r="F108" s="2"/>
      <c r="G108" s="2"/>
      <c r="H108" s="2"/>
      <c r="I108" s="2"/>
      <c r="J108" s="2"/>
      <c r="K108" s="2"/>
      <c r="L108" s="2"/>
      <c r="M108" s="2"/>
      <c r="BC108" s="164"/>
      <c r="BD108" s="164"/>
      <c r="BE108" s="164"/>
      <c r="BF108" s="164"/>
      <c r="BG108" s="164"/>
      <c r="BH108" s="164"/>
      <c r="BI108" s="164"/>
      <c r="BJ108" s="164"/>
      <c r="BK108" s="164"/>
      <c r="BL108" s="164"/>
      <c r="BM108" s="164"/>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c r="GQ108" s="2"/>
      <c r="GR108" s="2"/>
      <c r="GS108" s="2"/>
      <c r="GT108" s="2"/>
      <c r="GU108" s="2"/>
      <c r="GV108" s="2"/>
      <c r="GW108" s="2"/>
      <c r="GX108" s="2"/>
      <c r="GY108" s="2"/>
      <c r="GZ108" s="2"/>
      <c r="HA108" s="2"/>
      <c r="HB108" s="2"/>
      <c r="HC108" s="2"/>
      <c r="HD108" s="2"/>
      <c r="HE108" s="2"/>
      <c r="HF108" s="2"/>
      <c r="HG108" s="2"/>
      <c r="HH108" s="2"/>
      <c r="HI108" s="2"/>
      <c r="HJ108" s="2"/>
      <c r="HK108" s="2"/>
      <c r="HL108" s="2"/>
      <c r="HM108" s="2"/>
      <c r="HN108" s="2"/>
      <c r="HO108" s="2"/>
      <c r="HP108" s="2"/>
      <c r="HQ108" s="2"/>
      <c r="HR108" s="2"/>
      <c r="HS108" s="2"/>
      <c r="HT108" s="2"/>
      <c r="HU108" s="2"/>
      <c r="HV108" s="2"/>
      <c r="HW108" s="2"/>
      <c r="HX108" s="2"/>
      <c r="HY108" s="2"/>
      <c r="HZ108" s="2"/>
      <c r="IA108" s="2"/>
      <c r="IB108" s="2"/>
      <c r="IC108" s="2"/>
      <c r="ID108" s="2"/>
      <c r="IE108" s="2"/>
      <c r="IF108" s="2"/>
      <c r="II108" s="2"/>
      <c r="IJ108" s="3"/>
      <c r="IK108" s="3"/>
      <c r="IL108" s="3"/>
      <c r="IM108" s="2"/>
      <c r="IN108" s="2"/>
      <c r="IO108" s="2"/>
      <c r="IP108" s="2"/>
      <c r="IQ108" s="2"/>
      <c r="IR108" s="2"/>
      <c r="IS108" s="2"/>
      <c r="IT108" s="2"/>
      <c r="IU108" s="2"/>
      <c r="IV108" s="2"/>
    </row>
    <row r="109" spans="1:256">
      <c r="A109" s="2"/>
      <c r="B109" s="2"/>
      <c r="C109" s="2"/>
      <c r="D109" s="2"/>
      <c r="E109" s="2"/>
      <c r="F109" s="2"/>
      <c r="G109" s="2"/>
      <c r="H109" s="2"/>
      <c r="I109" s="2"/>
      <c r="J109" s="2"/>
      <c r="K109" s="2"/>
      <c r="L109" s="2"/>
      <c r="M109" s="2"/>
      <c r="BC109" s="164"/>
      <c r="BD109" s="164"/>
      <c r="BE109" s="164"/>
      <c r="BF109" s="164"/>
      <c r="BG109" s="164"/>
      <c r="BH109" s="164"/>
      <c r="BI109" s="164"/>
      <c r="BJ109" s="164"/>
      <c r="BK109" s="164"/>
      <c r="BL109" s="164"/>
      <c r="BM109" s="164"/>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c r="GQ109" s="2"/>
      <c r="GR109" s="2"/>
      <c r="GS109" s="2"/>
      <c r="GT109" s="2"/>
      <c r="GU109" s="2"/>
      <c r="GV109" s="2"/>
      <c r="GW109" s="2"/>
      <c r="GX109" s="2"/>
      <c r="GY109" s="2"/>
      <c r="GZ109" s="2"/>
      <c r="HA109" s="2"/>
      <c r="HB109" s="2"/>
      <c r="HC109" s="2"/>
      <c r="HD109" s="2"/>
      <c r="HE109" s="2"/>
      <c r="HF109" s="2"/>
      <c r="HG109" s="2"/>
      <c r="HH109" s="2"/>
      <c r="HI109" s="2"/>
      <c r="HJ109" s="2"/>
      <c r="HK109" s="2"/>
      <c r="HL109" s="2"/>
      <c r="HM109" s="2"/>
      <c r="HN109" s="2"/>
      <c r="HO109" s="2"/>
      <c r="HP109" s="2"/>
      <c r="HQ109" s="2"/>
      <c r="HR109" s="2"/>
      <c r="HS109" s="2"/>
      <c r="HT109" s="2"/>
      <c r="HU109" s="2"/>
      <c r="HV109" s="2"/>
      <c r="HW109" s="2"/>
      <c r="HX109" s="2"/>
      <c r="HY109" s="2"/>
      <c r="HZ109" s="2"/>
      <c r="IA109" s="2"/>
      <c r="IB109" s="2"/>
      <c r="IC109" s="2"/>
      <c r="ID109" s="2"/>
      <c r="IE109" s="2"/>
      <c r="IF109" s="2"/>
      <c r="II109" s="2"/>
      <c r="IJ109" s="3"/>
      <c r="IK109" s="3"/>
      <c r="IL109" s="3"/>
      <c r="IM109" s="2"/>
      <c r="IN109" s="2"/>
      <c r="IO109" s="2"/>
      <c r="IP109" s="2"/>
      <c r="IQ109" s="2"/>
      <c r="IR109" s="2"/>
      <c r="IS109" s="2"/>
      <c r="IT109" s="2"/>
      <c r="IU109" s="2"/>
      <c r="IV109" s="2"/>
    </row>
    <row r="110" spans="1:256">
      <c r="A110" s="2"/>
      <c r="B110" s="2"/>
      <c r="C110" s="2"/>
      <c r="D110" s="2"/>
      <c r="E110" s="2"/>
      <c r="F110" s="2"/>
      <c r="G110" s="2"/>
      <c r="H110" s="2"/>
      <c r="I110" s="2"/>
      <c r="J110" s="2"/>
      <c r="K110" s="2"/>
      <c r="L110" s="2"/>
      <c r="M110" s="2"/>
      <c r="BC110" s="164"/>
      <c r="BD110" s="164"/>
      <c r="BE110" s="164"/>
      <c r="BF110" s="164"/>
      <c r="BG110" s="164"/>
      <c r="BH110" s="164"/>
      <c r="BI110" s="164"/>
      <c r="BJ110" s="164"/>
      <c r="BK110" s="164"/>
      <c r="BL110" s="164"/>
      <c r="BM110" s="164"/>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c r="GQ110" s="2"/>
      <c r="GR110" s="2"/>
      <c r="GS110" s="2"/>
      <c r="GT110" s="2"/>
      <c r="GU110" s="2"/>
      <c r="GV110" s="2"/>
      <c r="GW110" s="2"/>
      <c r="GX110" s="2"/>
      <c r="GY110" s="2"/>
      <c r="GZ110" s="2"/>
      <c r="HA110" s="2"/>
      <c r="HB110" s="2"/>
      <c r="HC110" s="2"/>
      <c r="HD110" s="2"/>
      <c r="HE110" s="2"/>
      <c r="HF110" s="2"/>
      <c r="HG110" s="2"/>
      <c r="HH110" s="2"/>
      <c r="HI110" s="2"/>
      <c r="HJ110" s="2"/>
      <c r="HK110" s="2"/>
      <c r="HL110" s="2"/>
      <c r="HM110" s="2"/>
      <c r="HN110" s="2"/>
      <c r="HO110" s="2"/>
      <c r="HP110" s="2"/>
      <c r="HQ110" s="2"/>
      <c r="HR110" s="2"/>
      <c r="HS110" s="2"/>
      <c r="HT110" s="2"/>
      <c r="HU110" s="2"/>
      <c r="HV110" s="2"/>
      <c r="HW110" s="2"/>
      <c r="HX110" s="2"/>
      <c r="HY110" s="2"/>
      <c r="HZ110" s="2"/>
      <c r="IA110" s="2"/>
      <c r="IB110" s="2"/>
      <c r="IC110" s="2"/>
      <c r="ID110" s="2"/>
      <c r="IE110" s="2"/>
      <c r="IF110" s="2"/>
      <c r="II110" s="2"/>
      <c r="IJ110" s="3"/>
      <c r="IK110" s="3"/>
      <c r="IL110" s="3"/>
      <c r="IM110" s="2"/>
      <c r="IN110" s="2"/>
      <c r="IO110" s="2"/>
      <c r="IP110" s="2"/>
      <c r="IQ110" s="2"/>
      <c r="IR110" s="2"/>
      <c r="IS110" s="2"/>
      <c r="IT110" s="2"/>
      <c r="IU110" s="2"/>
      <c r="IV110" s="2"/>
    </row>
    <row r="111" spans="1:256">
      <c r="A111" s="2"/>
      <c r="B111" s="2"/>
      <c r="C111" s="2"/>
      <c r="D111" s="2"/>
      <c r="E111" s="2"/>
      <c r="F111" s="2"/>
      <c r="G111" s="2"/>
      <c r="H111" s="2"/>
      <c r="I111" s="2"/>
      <c r="J111" s="2"/>
      <c r="K111" s="2"/>
      <c r="L111" s="2"/>
      <c r="M111" s="2"/>
      <c r="BC111" s="164"/>
      <c r="BD111" s="164"/>
      <c r="BE111" s="164"/>
      <c r="BF111" s="164"/>
      <c r="BG111" s="164"/>
      <c r="BH111" s="164"/>
      <c r="BI111" s="164"/>
      <c r="BJ111" s="164"/>
      <c r="BK111" s="164"/>
      <c r="BL111" s="164"/>
      <c r="BM111" s="164"/>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c r="GQ111" s="2"/>
      <c r="GR111" s="2"/>
      <c r="GS111" s="2"/>
      <c r="GT111" s="2"/>
      <c r="GU111" s="2"/>
      <c r="GV111" s="2"/>
      <c r="GW111" s="2"/>
      <c r="GX111" s="2"/>
      <c r="GY111" s="2"/>
      <c r="GZ111" s="2"/>
      <c r="HA111" s="2"/>
      <c r="HB111" s="2"/>
      <c r="HC111" s="2"/>
      <c r="HD111" s="2"/>
      <c r="HE111" s="2"/>
      <c r="HF111" s="2"/>
      <c r="HG111" s="2"/>
      <c r="HH111" s="2"/>
      <c r="HI111" s="2"/>
      <c r="HJ111" s="2"/>
      <c r="HK111" s="2"/>
      <c r="HL111" s="2"/>
      <c r="HM111" s="2"/>
      <c r="HN111" s="2"/>
      <c r="HO111" s="2"/>
      <c r="HP111" s="2"/>
      <c r="HQ111" s="2"/>
      <c r="HR111" s="2"/>
      <c r="HS111" s="2"/>
      <c r="HT111" s="2"/>
      <c r="HU111" s="2"/>
      <c r="HV111" s="2"/>
      <c r="HW111" s="2"/>
      <c r="HX111" s="2"/>
      <c r="HY111" s="2"/>
      <c r="HZ111" s="2"/>
      <c r="IA111" s="2"/>
      <c r="IB111" s="2"/>
      <c r="IC111" s="2"/>
      <c r="ID111" s="2"/>
      <c r="IE111" s="2"/>
      <c r="IF111" s="2"/>
      <c r="II111" s="2"/>
      <c r="IJ111" s="3"/>
      <c r="IK111" s="3"/>
      <c r="IL111" s="3"/>
      <c r="IM111" s="2"/>
      <c r="IN111" s="2"/>
      <c r="IO111" s="2"/>
      <c r="IP111" s="2"/>
      <c r="IQ111" s="2"/>
      <c r="IR111" s="2"/>
      <c r="IS111" s="2"/>
      <c r="IT111" s="2"/>
      <c r="IU111" s="2"/>
      <c r="IV111" s="2"/>
    </row>
    <row r="112" spans="1:256">
      <c r="A112" s="2"/>
      <c r="B112" s="2"/>
      <c r="C112" s="2"/>
      <c r="D112" s="2"/>
      <c r="E112" s="2"/>
      <c r="F112" s="2"/>
      <c r="G112" s="2"/>
      <c r="H112" s="2"/>
      <c r="I112" s="2"/>
      <c r="J112" s="2"/>
      <c r="K112" s="2"/>
      <c r="L112" s="2"/>
      <c r="M112" s="2"/>
      <c r="BC112" s="164"/>
      <c r="BD112" s="164"/>
      <c r="BE112" s="164"/>
      <c r="BF112" s="164"/>
      <c r="BG112" s="164"/>
      <c r="BH112" s="164"/>
      <c r="BI112" s="164"/>
      <c r="BJ112" s="164"/>
      <c r="BK112" s="164"/>
      <c r="BL112" s="164"/>
      <c r="BM112" s="164"/>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c r="GQ112" s="2"/>
      <c r="GR112" s="2"/>
      <c r="GS112" s="2"/>
      <c r="GT112" s="2"/>
      <c r="GU112" s="2"/>
      <c r="GV112" s="2"/>
      <c r="GW112" s="2"/>
      <c r="GX112" s="2"/>
      <c r="GY112" s="2"/>
      <c r="GZ112" s="2"/>
      <c r="HA112" s="2"/>
      <c r="HB112" s="2"/>
      <c r="HC112" s="2"/>
      <c r="HD112" s="2"/>
      <c r="HE112" s="2"/>
      <c r="HF112" s="2"/>
      <c r="HG112" s="2"/>
      <c r="HH112" s="2"/>
      <c r="HI112" s="2"/>
      <c r="HJ112" s="2"/>
      <c r="HK112" s="2"/>
      <c r="HL112" s="2"/>
      <c r="HM112" s="2"/>
      <c r="HN112" s="2"/>
      <c r="HO112" s="2"/>
      <c r="HP112" s="2"/>
      <c r="HQ112" s="2"/>
      <c r="HR112" s="2"/>
      <c r="HS112" s="2"/>
      <c r="HT112" s="2"/>
      <c r="HU112" s="2"/>
      <c r="HV112" s="2"/>
      <c r="HW112" s="2"/>
      <c r="HX112" s="2"/>
      <c r="HY112" s="2"/>
      <c r="HZ112" s="2"/>
      <c r="IA112" s="2"/>
      <c r="IB112" s="2"/>
      <c r="IC112" s="2"/>
      <c r="ID112" s="2"/>
      <c r="IE112" s="2"/>
      <c r="IF112" s="2"/>
      <c r="II112" s="2"/>
      <c r="IJ112" s="3"/>
      <c r="IK112" s="3"/>
      <c r="IL112" s="3"/>
      <c r="IM112" s="2"/>
      <c r="IN112" s="2"/>
      <c r="IO112" s="2"/>
      <c r="IP112" s="2"/>
      <c r="IQ112" s="2"/>
      <c r="IR112" s="2"/>
      <c r="IS112" s="2"/>
      <c r="IT112" s="2"/>
      <c r="IU112" s="2"/>
      <c r="IV112" s="2"/>
    </row>
    <row r="113" spans="1:256">
      <c r="A113" s="2"/>
      <c r="B113" s="2"/>
      <c r="C113" s="2"/>
      <c r="D113" s="2"/>
      <c r="E113" s="2"/>
      <c r="F113" s="2"/>
      <c r="G113" s="2"/>
      <c r="H113" s="2"/>
      <c r="I113" s="2"/>
      <c r="J113" s="2"/>
      <c r="K113" s="2"/>
      <c r="L113" s="2"/>
      <c r="M113" s="2"/>
      <c r="BC113" s="164"/>
      <c r="BD113" s="164"/>
      <c r="BE113" s="164"/>
      <c r="BF113" s="164"/>
      <c r="BG113" s="164"/>
      <c r="BH113" s="164"/>
      <c r="BI113" s="164"/>
      <c r="BJ113" s="164"/>
      <c r="BK113" s="164"/>
      <c r="BL113" s="164"/>
      <c r="BM113" s="164"/>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c r="GQ113" s="2"/>
      <c r="GR113" s="2"/>
      <c r="GS113" s="2"/>
      <c r="GT113" s="2"/>
      <c r="GU113" s="2"/>
      <c r="GV113" s="2"/>
      <c r="GW113" s="2"/>
      <c r="GX113" s="2"/>
      <c r="GY113" s="2"/>
      <c r="GZ113" s="2"/>
      <c r="HA113" s="2"/>
      <c r="HB113" s="2"/>
      <c r="HC113" s="2"/>
      <c r="HD113" s="2"/>
      <c r="HE113" s="2"/>
      <c r="HF113" s="2"/>
      <c r="HG113" s="2"/>
      <c r="HH113" s="2"/>
      <c r="HI113" s="2"/>
      <c r="HJ113" s="2"/>
      <c r="HK113" s="2"/>
      <c r="HL113" s="2"/>
      <c r="HM113" s="2"/>
      <c r="HN113" s="2"/>
      <c r="HO113" s="2"/>
      <c r="HP113" s="2"/>
      <c r="HQ113" s="2"/>
      <c r="HR113" s="2"/>
      <c r="HS113" s="2"/>
      <c r="HT113" s="2"/>
      <c r="HU113" s="2"/>
      <c r="HV113" s="2"/>
      <c r="HW113" s="2"/>
      <c r="HX113" s="2"/>
      <c r="HY113" s="2"/>
      <c r="HZ113" s="2"/>
      <c r="IA113" s="2"/>
      <c r="IB113" s="2"/>
      <c r="IC113" s="2"/>
      <c r="ID113" s="2"/>
      <c r="IE113" s="2"/>
      <c r="IF113" s="2"/>
      <c r="II113" s="2"/>
      <c r="IJ113" s="3"/>
      <c r="IK113" s="3"/>
      <c r="IL113" s="3"/>
      <c r="IM113" s="2"/>
      <c r="IN113" s="2"/>
      <c r="IO113" s="2"/>
      <c r="IP113" s="2"/>
      <c r="IQ113" s="2"/>
      <c r="IR113" s="2"/>
      <c r="IS113" s="2"/>
      <c r="IT113" s="2"/>
      <c r="IU113" s="2"/>
      <c r="IV113" s="2"/>
    </row>
  </sheetData>
  <sheetProtection algorithmName="SHA-512" hashValue="8EVQeZLFB/FpiTjfFf6/FRPG7WJxgHAnhIesO2JlzXZuHh4CRpxsTNgvJ4UyTRYqJNWT0+GUyom7DuxLzh7N3Q==" saltValue="sCS2TQpHTdPfxN1W9PiCuw==" spinCount="100000" sheet="1" objects="1" scenarios="1" selectLockedCells="1"/>
  <customSheetViews>
    <customSheetView guid="{DB365FA4-8D94-49CF-B333-8C6A4783853B}" showPageBreaks="1" printArea="1" showRuler="0">
      <selection sqref="A1:M35"/>
      <pageMargins left="0.25" right="0.25" top="0.5" bottom="0.5" header="0.5" footer="0.5"/>
      <printOptions horizontalCentered="1" verticalCentered="1"/>
      <pageSetup scale="115" orientation="landscape" blackAndWhite="1" horizontalDpi="300" verticalDpi="300" r:id="rId1"/>
      <headerFooter alignWithMargins="0"/>
    </customSheetView>
    <customSheetView guid="{9711F06F-B5CC-4033-8AB3-0E7E6F635E5F}" showPageBreaks="1" printArea="1" showRuler="0" topLeftCell="A16">
      <selection activeCell="A35" sqref="A35:M58"/>
      <pageMargins left="0.25" right="0.25" top="0.5" bottom="0.5" header="0.5" footer="0.5"/>
      <printOptions horizontalCentered="1" verticalCentered="1"/>
      <pageSetup scale="115" orientation="landscape" blackAndWhite="1" horizontalDpi="300" verticalDpi="300" r:id="rId2"/>
      <headerFooter alignWithMargins="0"/>
    </customSheetView>
    <customSheetView guid="{2FCC383C-10EF-41F0-858D-505CF08BB01B}" showPageBreaks="1" printArea="1" showRuler="0" topLeftCell="A34">
      <selection activeCell="A57" sqref="A57:M80"/>
      <pageMargins left="0.25" right="0.25" top="0.5" bottom="0.5" header="0.5" footer="0.5"/>
      <printOptions horizontalCentered="1" verticalCentered="1"/>
      <pageSetup scale="115" orientation="landscape" blackAndWhite="1" horizontalDpi="300" verticalDpi="300" r:id="rId3"/>
      <headerFooter alignWithMargins="0"/>
    </customSheetView>
    <customSheetView guid="{82DFEA4E-A735-471A-8B59-472DB22D5406}" showPageBreaks="1" printArea="1" showRuler="0" topLeftCell="A57">
      <selection activeCell="M80" sqref="A1:M80"/>
      <pageMargins left="0.25" right="0.25" top="0.2" bottom="0.2" header="0.24" footer="0.23"/>
      <printOptions horizontalCentered="1" verticalCentered="1"/>
      <pageSetup paperSize="5" scale="95" orientation="portrait" blackAndWhite="1" horizontalDpi="300" verticalDpi="300" r:id="rId4"/>
      <headerFooter alignWithMargins="0"/>
    </customSheetView>
    <customSheetView guid="{53803D8B-0A9B-4271-B690-B5F9FC4E36BE}" showPageBreaks="1" printArea="1" showRuler="0">
      <selection sqref="A1:M58"/>
      <pageMargins left="0.25" right="0.25" top="0.23" bottom="0.5" header="0.5" footer="0.5"/>
      <printOptions horizontalCentered="1" verticalCentered="1"/>
      <pageSetup orientation="portrait" blackAndWhite="1" horizontalDpi="300" verticalDpi="300" r:id="rId5"/>
      <headerFooter alignWithMargins="0"/>
    </customSheetView>
  </customSheetViews>
  <mergeCells count="52">
    <mergeCell ref="AG69:AN69"/>
    <mergeCell ref="U8:Y8"/>
    <mergeCell ref="BD4:BL4"/>
    <mergeCell ref="BC35:BG35"/>
    <mergeCell ref="BI35:BM35"/>
    <mergeCell ref="BC36:BG36"/>
    <mergeCell ref="BI36:BM36"/>
    <mergeCell ref="BD6:BL6"/>
    <mergeCell ref="BD33:BL34"/>
    <mergeCell ref="DN7:DO22"/>
    <mergeCell ref="B30:F30"/>
    <mergeCell ref="F22:G22"/>
    <mergeCell ref="E24:G24"/>
    <mergeCell ref="J24:K24"/>
    <mergeCell ref="F25:G25"/>
    <mergeCell ref="B19:B20"/>
    <mergeCell ref="J21:K21"/>
    <mergeCell ref="F13:F14"/>
    <mergeCell ref="BC7:BG7"/>
    <mergeCell ref="BC8:BG8"/>
    <mergeCell ref="BI7:BM7"/>
    <mergeCell ref="BI8:BM8"/>
    <mergeCell ref="F21:G21"/>
    <mergeCell ref="E18:F18"/>
    <mergeCell ref="U7:Y7"/>
    <mergeCell ref="C78:K78"/>
    <mergeCell ref="E60:I60"/>
    <mergeCell ref="B62:E62"/>
    <mergeCell ref="B63:B64"/>
    <mergeCell ref="E65:G65"/>
    <mergeCell ref="F62:G62"/>
    <mergeCell ref="B76:G76"/>
    <mergeCell ref="E68:G68"/>
    <mergeCell ref="B75:G75"/>
    <mergeCell ref="C2:K2"/>
    <mergeCell ref="C4:K4"/>
    <mergeCell ref="B6:L6"/>
    <mergeCell ref="B11:C11"/>
    <mergeCell ref="K8:L8"/>
    <mergeCell ref="O7:S7"/>
    <mergeCell ref="O8:S8"/>
    <mergeCell ref="F39:G39"/>
    <mergeCell ref="E45:G45"/>
    <mergeCell ref="C55:K55"/>
    <mergeCell ref="B52:G52"/>
    <mergeCell ref="B53:G53"/>
    <mergeCell ref="D37:I37"/>
    <mergeCell ref="B39:E39"/>
    <mergeCell ref="B40:B41"/>
    <mergeCell ref="E42:G42"/>
    <mergeCell ref="C20:D20"/>
    <mergeCell ref="F20:G20"/>
  </mergeCells>
  <phoneticPr fontId="17" type="noConversion"/>
  <dataValidations disablePrompts="1" count="1">
    <dataValidation type="custom" allowBlank="1" showInputMessage="1" showErrorMessage="1" error="You have selected a three phase feeder,_x000a__x000a_Check above for selected Voltage &amp; Phase " promptTitle="single phase feeder" sqref="AM54 W77" xr:uid="{00000000-0002-0000-0100-000000000000}">
      <formula1>IF(W53=TRUE,TRUE,FALSE)</formula1>
    </dataValidation>
  </dataValidations>
  <hyperlinks>
    <hyperlink ref="K8" r:id="rId6" xr:uid="{00000000-0004-0000-0100-000000000000}"/>
  </hyperlinks>
  <printOptions horizontalCentered="1" verticalCentered="1"/>
  <pageMargins left="0.25" right="0.25" top="0.5" bottom="0.5" header="0.5" footer="0.5"/>
  <pageSetup scale="115" orientation="landscape" blackAndWhite="1" horizontalDpi="300" verticalDpi="300" r:id="rId7"/>
  <headerFooter alignWithMargins="0"/>
  <drawing r:id="rId8"/>
  <legacyDrawing r:id="rId9"/>
  <mc:AlternateContent xmlns:mc="http://schemas.openxmlformats.org/markup-compatibility/2006">
    <mc:Choice Requires="x14">
      <controls>
        <mc:AlternateContent xmlns:mc="http://schemas.openxmlformats.org/markup-compatibility/2006">
          <mc:Choice Requires="x14">
            <control shapeId="2049" r:id="rId10" name="Drop Down 1">
              <controlPr locked="0" defaultSize="0" autoFill="0" autoLine="0" autoPict="0">
                <anchor moveWithCells="1">
                  <from>
                    <xdr:col>10</xdr:col>
                    <xdr:colOff>542925</xdr:colOff>
                    <xdr:row>19</xdr:row>
                    <xdr:rowOff>142875</xdr:rowOff>
                  </from>
                  <to>
                    <xdr:col>11</xdr:col>
                    <xdr:colOff>666750</xdr:colOff>
                    <xdr:row>21</xdr:row>
                    <xdr:rowOff>0</xdr:rowOff>
                  </to>
                </anchor>
              </controlPr>
            </control>
          </mc:Choice>
        </mc:AlternateContent>
        <mc:AlternateContent xmlns:mc="http://schemas.openxmlformats.org/markup-compatibility/2006">
          <mc:Choice Requires="x14">
            <control shapeId="2050" r:id="rId11" name="Drop Down 2">
              <controlPr locked="0" defaultSize="0" autoFill="0" autoLine="0" autoPict="0">
                <anchor moveWithCells="1">
                  <from>
                    <xdr:col>10</xdr:col>
                    <xdr:colOff>561975</xdr:colOff>
                    <xdr:row>40</xdr:row>
                    <xdr:rowOff>161925</xdr:rowOff>
                  </from>
                  <to>
                    <xdr:col>11</xdr:col>
                    <xdr:colOff>666750</xdr:colOff>
                    <xdr:row>42</xdr:row>
                    <xdr:rowOff>19050</xdr:rowOff>
                  </to>
                </anchor>
              </controlPr>
            </control>
          </mc:Choice>
        </mc:AlternateContent>
        <mc:AlternateContent xmlns:mc="http://schemas.openxmlformats.org/markup-compatibility/2006">
          <mc:Choice Requires="x14">
            <control shapeId="2051" r:id="rId12" name="Drop Down 3">
              <controlPr locked="0" defaultSize="0" autoFill="0" autoLine="0" autoPict="0">
                <anchor moveWithCells="1">
                  <from>
                    <xdr:col>9</xdr:col>
                    <xdr:colOff>76200</xdr:colOff>
                    <xdr:row>16</xdr:row>
                    <xdr:rowOff>161925</xdr:rowOff>
                  </from>
                  <to>
                    <xdr:col>11</xdr:col>
                    <xdr:colOff>657225</xdr:colOff>
                    <xdr:row>18</xdr:row>
                    <xdr:rowOff>19050</xdr:rowOff>
                  </to>
                </anchor>
              </controlPr>
            </control>
          </mc:Choice>
        </mc:AlternateContent>
        <mc:AlternateContent xmlns:mc="http://schemas.openxmlformats.org/markup-compatibility/2006">
          <mc:Choice Requires="x14">
            <control shapeId="2052" r:id="rId13" name="Drop Down 4">
              <controlPr locked="0" defaultSize="0" autoFill="0" autoLine="0" autoPict="0">
                <anchor moveWithCells="1">
                  <from>
                    <xdr:col>9</xdr:col>
                    <xdr:colOff>85725</xdr:colOff>
                    <xdr:row>35</xdr:row>
                    <xdr:rowOff>152400</xdr:rowOff>
                  </from>
                  <to>
                    <xdr:col>11</xdr:col>
                    <xdr:colOff>666750</xdr:colOff>
                    <xdr:row>37</xdr:row>
                    <xdr:rowOff>9525</xdr:rowOff>
                  </to>
                </anchor>
              </controlPr>
            </control>
          </mc:Choice>
        </mc:AlternateContent>
        <mc:AlternateContent xmlns:mc="http://schemas.openxmlformats.org/markup-compatibility/2006">
          <mc:Choice Requires="x14">
            <control shapeId="2053" r:id="rId14" name="Drop Down 5">
              <controlPr locked="0" defaultSize="0" autoFill="0" autoLine="0" autoPict="0">
                <anchor moveWithCells="1">
                  <from>
                    <xdr:col>9</xdr:col>
                    <xdr:colOff>76200</xdr:colOff>
                    <xdr:row>15</xdr:row>
                    <xdr:rowOff>95250</xdr:rowOff>
                  </from>
                  <to>
                    <xdr:col>11</xdr:col>
                    <xdr:colOff>657225</xdr:colOff>
                    <xdr:row>16</xdr:row>
                    <xdr:rowOff>123825</xdr:rowOff>
                  </to>
                </anchor>
              </controlPr>
            </control>
          </mc:Choice>
        </mc:AlternateContent>
        <mc:AlternateContent xmlns:mc="http://schemas.openxmlformats.org/markup-compatibility/2006">
          <mc:Choice Requires="x14">
            <control shapeId="2054" r:id="rId15" name="Drop Down 6">
              <controlPr locked="0" defaultSize="0" autoFill="0" autoLine="0" autoPict="0">
                <anchor moveWithCells="1">
                  <from>
                    <xdr:col>10</xdr:col>
                    <xdr:colOff>542925</xdr:colOff>
                    <xdr:row>22</xdr:row>
                    <xdr:rowOff>161925</xdr:rowOff>
                  </from>
                  <to>
                    <xdr:col>11</xdr:col>
                    <xdr:colOff>666750</xdr:colOff>
                    <xdr:row>24</xdr:row>
                    <xdr:rowOff>19050</xdr:rowOff>
                  </to>
                </anchor>
              </controlPr>
            </control>
          </mc:Choice>
        </mc:AlternateContent>
        <mc:AlternateContent xmlns:mc="http://schemas.openxmlformats.org/markup-compatibility/2006">
          <mc:Choice Requires="x14">
            <control shapeId="2055" r:id="rId16" name="Drop Down 7">
              <controlPr locked="0" defaultSize="0" autoFill="0" autoLine="0" autoPict="0">
                <anchor moveWithCells="1">
                  <from>
                    <xdr:col>10</xdr:col>
                    <xdr:colOff>561975</xdr:colOff>
                    <xdr:row>43</xdr:row>
                    <xdr:rowOff>142875</xdr:rowOff>
                  </from>
                  <to>
                    <xdr:col>11</xdr:col>
                    <xdr:colOff>666750</xdr:colOff>
                    <xdr:row>45</xdr:row>
                    <xdr:rowOff>0</xdr:rowOff>
                  </to>
                </anchor>
              </controlPr>
            </control>
          </mc:Choice>
        </mc:AlternateContent>
        <mc:AlternateContent xmlns:mc="http://schemas.openxmlformats.org/markup-compatibility/2006">
          <mc:Choice Requires="x14">
            <control shapeId="2056" r:id="rId17" name="Drop Down 8">
              <controlPr locked="0" defaultSize="0" autoFill="0" autoLine="0" autoPict="0">
                <anchor moveWithCells="1">
                  <from>
                    <xdr:col>10</xdr:col>
                    <xdr:colOff>390525</xdr:colOff>
                    <xdr:row>37</xdr:row>
                    <xdr:rowOff>19050</xdr:rowOff>
                  </from>
                  <to>
                    <xdr:col>11</xdr:col>
                    <xdr:colOff>666750</xdr:colOff>
                    <xdr:row>38</xdr:row>
                    <xdr:rowOff>47625</xdr:rowOff>
                  </to>
                </anchor>
              </controlPr>
            </control>
          </mc:Choice>
        </mc:AlternateContent>
        <mc:AlternateContent xmlns:mc="http://schemas.openxmlformats.org/markup-compatibility/2006">
          <mc:Choice Requires="x14">
            <control shapeId="2057" r:id="rId18" name="Drop Down 9">
              <controlPr locked="0" defaultSize="0" autoFill="0" autoLine="0" autoPict="0">
                <anchor moveWithCells="1">
                  <from>
                    <xdr:col>10</xdr:col>
                    <xdr:colOff>495300</xdr:colOff>
                    <xdr:row>63</xdr:row>
                    <xdr:rowOff>161925</xdr:rowOff>
                  </from>
                  <to>
                    <xdr:col>11</xdr:col>
                    <xdr:colOff>676275</xdr:colOff>
                    <xdr:row>65</xdr:row>
                    <xdr:rowOff>9525</xdr:rowOff>
                  </to>
                </anchor>
              </controlPr>
            </control>
          </mc:Choice>
        </mc:AlternateContent>
        <mc:AlternateContent xmlns:mc="http://schemas.openxmlformats.org/markup-compatibility/2006">
          <mc:Choice Requires="x14">
            <control shapeId="2058" r:id="rId19" name="Drop Down 10">
              <controlPr locked="0" defaultSize="0" autoFill="0" autoLine="0" autoPict="0">
                <anchor moveWithCells="1">
                  <from>
                    <xdr:col>9</xdr:col>
                    <xdr:colOff>85725</xdr:colOff>
                    <xdr:row>58</xdr:row>
                    <xdr:rowOff>152400</xdr:rowOff>
                  </from>
                  <to>
                    <xdr:col>11</xdr:col>
                    <xdr:colOff>676275</xdr:colOff>
                    <xdr:row>60</xdr:row>
                    <xdr:rowOff>0</xdr:rowOff>
                  </to>
                </anchor>
              </controlPr>
            </control>
          </mc:Choice>
        </mc:AlternateContent>
        <mc:AlternateContent xmlns:mc="http://schemas.openxmlformats.org/markup-compatibility/2006">
          <mc:Choice Requires="x14">
            <control shapeId="2059" r:id="rId20" name="Drop Down 11">
              <controlPr locked="0" defaultSize="0" autoFill="0" autoLine="0" autoPict="0">
                <anchor moveWithCells="1">
                  <from>
                    <xdr:col>10</xdr:col>
                    <xdr:colOff>533400</xdr:colOff>
                    <xdr:row>66</xdr:row>
                    <xdr:rowOff>142875</xdr:rowOff>
                  </from>
                  <to>
                    <xdr:col>11</xdr:col>
                    <xdr:colOff>676275</xdr:colOff>
                    <xdr:row>67</xdr:row>
                    <xdr:rowOff>171450</xdr:rowOff>
                  </to>
                </anchor>
              </controlPr>
            </control>
          </mc:Choice>
        </mc:AlternateContent>
        <mc:AlternateContent xmlns:mc="http://schemas.openxmlformats.org/markup-compatibility/2006">
          <mc:Choice Requires="x14">
            <control shapeId="2060" r:id="rId21" name="Drop Down 12">
              <controlPr locked="0" defaultSize="0" autoFill="0" autoLine="0" autoPict="0">
                <anchor moveWithCells="1">
                  <from>
                    <xdr:col>10</xdr:col>
                    <xdr:colOff>390525</xdr:colOff>
                    <xdr:row>60</xdr:row>
                    <xdr:rowOff>85725</xdr:rowOff>
                  </from>
                  <to>
                    <xdr:col>11</xdr:col>
                    <xdr:colOff>676275</xdr:colOff>
                    <xdr:row>61</xdr:row>
                    <xdr:rowOff>104775</xdr:rowOff>
                  </to>
                </anchor>
              </controlPr>
            </control>
          </mc:Choice>
        </mc:AlternateContent>
        <mc:AlternateContent xmlns:mc="http://schemas.openxmlformats.org/markup-compatibility/2006">
          <mc:Choice Requires="x14">
            <control shapeId="2095" r:id="rId22" name="Drop Down 47">
              <controlPr locked="0" defaultSize="0" autoFill="0" autoLine="0" autoPict="0">
                <anchor moveWithCells="1">
                  <from>
                    <xdr:col>5</xdr:col>
                    <xdr:colOff>600075</xdr:colOff>
                    <xdr:row>17</xdr:row>
                    <xdr:rowOff>9525</xdr:rowOff>
                  </from>
                  <to>
                    <xdr:col>7</xdr:col>
                    <xdr:colOff>95250</xdr:colOff>
                    <xdr:row>18</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3B703-5FD9-4CF9-913B-9543A9BC4208}">
  <dimension ref="C3:U119"/>
  <sheetViews>
    <sheetView topLeftCell="A103" zoomScale="130" zoomScaleNormal="130" workbookViewId="0">
      <selection activeCell="M46" sqref="M46"/>
    </sheetView>
  </sheetViews>
  <sheetFormatPr defaultRowHeight="12.75"/>
  <cols>
    <col min="4" max="4" width="12.7109375" bestFit="1" customWidth="1"/>
    <col min="5" max="5" width="11.7109375" customWidth="1"/>
    <col min="6" max="6" width="10.85546875" bestFit="1" customWidth="1"/>
    <col min="7" max="7" width="10.140625" bestFit="1" customWidth="1"/>
    <col min="8" max="8" width="12.7109375" bestFit="1" customWidth="1"/>
    <col min="9" max="9" width="7.85546875" bestFit="1" customWidth="1"/>
    <col min="10" max="10" width="10" bestFit="1" customWidth="1"/>
    <col min="11" max="11" width="10.140625" bestFit="1" customWidth="1"/>
    <col min="12" max="12" width="13.85546875" bestFit="1" customWidth="1"/>
    <col min="13" max="13" width="12.7109375" bestFit="1" customWidth="1"/>
    <col min="14" max="14" width="7.5703125" customWidth="1"/>
    <col min="15" max="15" width="10.85546875" bestFit="1" customWidth="1"/>
    <col min="16" max="16" width="10.140625" bestFit="1" customWidth="1"/>
    <col min="17" max="17" width="12.7109375" bestFit="1" customWidth="1"/>
    <col min="18" max="18" width="9" customWidth="1"/>
    <col min="19" max="19" width="10" bestFit="1" customWidth="1"/>
    <col min="20" max="20" width="10.140625" bestFit="1" customWidth="1"/>
    <col min="21" max="21" width="13.85546875" bestFit="1" customWidth="1"/>
  </cols>
  <sheetData>
    <row r="3" spans="3:21" ht="54.75" customHeight="1">
      <c r="H3" s="331" t="s">
        <v>112</v>
      </c>
      <c r="I3" s="331"/>
      <c r="J3" s="331"/>
      <c r="K3" s="331"/>
      <c r="L3" s="331"/>
    </row>
    <row r="5" spans="3:21" ht="14.25">
      <c r="H5" s="146">
        <v>3.2299999999999998E-3</v>
      </c>
      <c r="I5" s="146">
        <f>75-30</f>
        <v>45</v>
      </c>
      <c r="J5" s="146">
        <f>+H5*I5*-1</f>
        <v>-0.14534999999999998</v>
      </c>
      <c r="K5" s="152">
        <f>1+J5</f>
        <v>0.85465000000000002</v>
      </c>
      <c r="L5" s="152" t="s">
        <v>15</v>
      </c>
    </row>
    <row r="6" spans="3:21" ht="15" thickBot="1">
      <c r="H6" s="146">
        <v>3.3E-3</v>
      </c>
      <c r="I6" s="146">
        <f>75-30</f>
        <v>45</v>
      </c>
      <c r="J6" s="146">
        <f>+H6*I6*-1</f>
        <v>-0.14849999999999999</v>
      </c>
      <c r="K6" s="152">
        <f>1+J6</f>
        <v>0.85150000000000003</v>
      </c>
      <c r="L6" s="152" t="s">
        <v>200</v>
      </c>
    </row>
    <row r="7" spans="3:21" ht="15" thickBot="1">
      <c r="C7" s="129"/>
      <c r="D7" s="335" t="s">
        <v>180</v>
      </c>
      <c r="E7" s="336"/>
      <c r="F7" s="336"/>
      <c r="G7" s="336"/>
      <c r="H7" s="336"/>
      <c r="I7" s="336"/>
      <c r="J7" s="336"/>
      <c r="K7" s="336"/>
      <c r="L7" s="337"/>
      <c r="M7" s="335" t="s">
        <v>181</v>
      </c>
      <c r="N7" s="336"/>
      <c r="O7" s="336"/>
      <c r="P7" s="336"/>
      <c r="Q7" s="336"/>
      <c r="R7" s="336"/>
      <c r="S7" s="336"/>
      <c r="T7" s="336"/>
      <c r="U7" s="337"/>
    </row>
    <row r="8" spans="3:21" ht="15" thickBot="1">
      <c r="C8" s="129"/>
      <c r="D8" s="328" t="s">
        <v>182</v>
      </c>
      <c r="E8" s="329"/>
      <c r="F8" s="329"/>
      <c r="G8" s="329"/>
      <c r="H8" s="329"/>
      <c r="I8" s="329"/>
      <c r="J8" s="329"/>
      <c r="K8" s="329"/>
      <c r="L8" s="330"/>
      <c r="M8" s="328" t="s">
        <v>182</v>
      </c>
      <c r="N8" s="329"/>
      <c r="O8" s="329"/>
      <c r="P8" s="329"/>
      <c r="Q8" s="329"/>
      <c r="R8" s="329"/>
      <c r="S8" s="329"/>
      <c r="T8" s="329"/>
      <c r="U8" s="330"/>
    </row>
    <row r="9" spans="3:21" ht="18.75" thickBot="1">
      <c r="C9" s="154" t="s">
        <v>183</v>
      </c>
      <c r="D9" s="131" t="s">
        <v>184</v>
      </c>
      <c r="E9" s="132" t="s">
        <v>185</v>
      </c>
      <c r="F9" s="130" t="s">
        <v>186</v>
      </c>
      <c r="G9" s="133" t="s">
        <v>187</v>
      </c>
      <c r="H9" s="131" t="s">
        <v>188</v>
      </c>
      <c r="I9" s="132" t="s">
        <v>185</v>
      </c>
      <c r="J9" s="130" t="s">
        <v>189</v>
      </c>
      <c r="K9" s="130" t="s">
        <v>190</v>
      </c>
      <c r="L9" s="130" t="s">
        <v>191</v>
      </c>
      <c r="M9" s="131" t="s">
        <v>184</v>
      </c>
      <c r="N9" s="132" t="s">
        <v>185</v>
      </c>
      <c r="O9" s="130" t="s">
        <v>186</v>
      </c>
      <c r="P9" s="133" t="s">
        <v>187</v>
      </c>
      <c r="Q9" s="131" t="s">
        <v>188</v>
      </c>
      <c r="R9" s="132" t="s">
        <v>185</v>
      </c>
      <c r="S9" s="130" t="s">
        <v>189</v>
      </c>
      <c r="T9" s="130" t="s">
        <v>190</v>
      </c>
      <c r="U9" s="130" t="s">
        <v>191</v>
      </c>
    </row>
    <row r="10" spans="3:21" ht="15" thickBot="1">
      <c r="C10" s="134">
        <v>14</v>
      </c>
      <c r="D10" s="135">
        <v>3.1</v>
      </c>
      <c r="E10" s="136">
        <v>5.8000000000000003E-2</v>
      </c>
      <c r="F10" s="137">
        <f t="shared" ref="F10:F30" si="0">SQRT((D10*D10) + (E10*E10))</f>
        <v>3.1005425331706062</v>
      </c>
      <c r="G10" s="138">
        <f t="shared" ref="G10:G30" si="1">1/(F10/1000)</f>
        <v>322.52419997522264</v>
      </c>
      <c r="H10" s="139">
        <f>+D10*K$5</f>
        <v>2.6494150000000003</v>
      </c>
      <c r="I10" s="136">
        <v>5.8000000000000003E-2</v>
      </c>
      <c r="J10" s="140">
        <f t="shared" ref="J10:J30" si="2">SQRT((H10*H10) + (I10*I10))</f>
        <v>2.6500497810843107</v>
      </c>
      <c r="K10" s="141">
        <f>1/(J10/1000)</f>
        <v>377.35140190114987</v>
      </c>
      <c r="L10" s="142">
        <f>+K10/G10</f>
        <v>1.1699940715460708</v>
      </c>
      <c r="M10" s="139">
        <v>0</v>
      </c>
      <c r="N10" s="134"/>
      <c r="O10" s="137"/>
      <c r="P10" s="138"/>
      <c r="Q10" s="143" t="s">
        <v>2</v>
      </c>
      <c r="R10" s="136"/>
      <c r="S10" s="140"/>
      <c r="T10" s="141"/>
      <c r="U10" s="142"/>
    </row>
    <row r="11" spans="3:21" ht="15" thickBot="1">
      <c r="C11" s="134">
        <v>12</v>
      </c>
      <c r="D11" s="135">
        <v>2</v>
      </c>
      <c r="E11" s="136">
        <v>5.3999999999999999E-2</v>
      </c>
      <c r="F11" s="137">
        <f t="shared" si="0"/>
        <v>2.0007288671881556</v>
      </c>
      <c r="G11" s="138">
        <f t="shared" si="1"/>
        <v>499.8178495846916</v>
      </c>
      <c r="H11" s="139">
        <f t="shared" ref="H11:H30" si="3">+D11*K$5</f>
        <v>1.7093</v>
      </c>
      <c r="I11" s="136">
        <v>5.3999999999999999E-2</v>
      </c>
      <c r="J11" s="140">
        <f t="shared" si="2"/>
        <v>1.7101527680298039</v>
      </c>
      <c r="K11" s="141">
        <f t="shared" ref="K11:K30" si="4">1/(J11/1000)</f>
        <v>584.74308184295046</v>
      </c>
      <c r="L11" s="142">
        <f t="shared" ref="L11:L30" si="5">+K11/G11</f>
        <v>1.1699123637317572</v>
      </c>
      <c r="M11" s="139">
        <v>3.2</v>
      </c>
      <c r="N11" s="136">
        <v>5.3999999999999999E-2</v>
      </c>
      <c r="O11" s="137">
        <f t="shared" ref="O11:O30" si="6">SQRT((M11*M11) + (N11*N11))</f>
        <v>3.2004555925680336</v>
      </c>
      <c r="P11" s="138">
        <f t="shared" ref="P11:P30" si="7">1/(O11/1000)</f>
        <v>312.45551487174475</v>
      </c>
      <c r="Q11" s="139">
        <f>+M11*K$6</f>
        <v>2.7248000000000001</v>
      </c>
      <c r="R11" s="136">
        <v>5.3999999999999999E-2</v>
      </c>
      <c r="S11" s="140">
        <f t="shared" ref="S11:S30" si="8">SQRT((Q11*Q11) + (R11*R11))</f>
        <v>2.7253350326152561</v>
      </c>
      <c r="T11" s="141">
        <f t="shared" ref="T11:T30" si="9">1/(S11/1000)</f>
        <v>366.9273641708524</v>
      </c>
      <c r="U11" s="142">
        <f t="shared" ref="U11:U30" si="10">+T11/P11</f>
        <v>1.1743347347268522</v>
      </c>
    </row>
    <row r="12" spans="3:21" ht="15" thickBot="1">
      <c r="C12" s="134">
        <v>10</v>
      </c>
      <c r="D12" s="135">
        <v>1.2</v>
      </c>
      <c r="E12" s="136">
        <v>0.05</v>
      </c>
      <c r="F12" s="137">
        <f t="shared" si="0"/>
        <v>1.2010412149464313</v>
      </c>
      <c r="G12" s="138">
        <f t="shared" si="1"/>
        <v>832.6108942436266</v>
      </c>
      <c r="H12" s="139">
        <f t="shared" si="3"/>
        <v>1.0255799999999999</v>
      </c>
      <c r="I12" s="136">
        <v>0.05</v>
      </c>
      <c r="J12" s="140">
        <f t="shared" si="2"/>
        <v>1.0267980991412089</v>
      </c>
      <c r="K12" s="141">
        <f t="shared" si="4"/>
        <v>973.90129650257222</v>
      </c>
      <c r="L12" s="142">
        <f t="shared" si="5"/>
        <v>1.1696955963893541</v>
      </c>
      <c r="M12" s="139">
        <v>2</v>
      </c>
      <c r="N12" s="136">
        <v>0.05</v>
      </c>
      <c r="O12" s="137">
        <f t="shared" si="6"/>
        <v>2.0006249023742559</v>
      </c>
      <c r="P12" s="138">
        <f t="shared" si="7"/>
        <v>499.84382320406132</v>
      </c>
      <c r="Q12" s="139">
        <f t="shared" ref="Q12:Q30" si="11">+M12*K$6</f>
        <v>1.7030000000000001</v>
      </c>
      <c r="R12" s="136">
        <v>0.05</v>
      </c>
      <c r="S12" s="140">
        <f t="shared" si="8"/>
        <v>1.7037338407157381</v>
      </c>
      <c r="T12" s="141">
        <f t="shared" si="9"/>
        <v>586.94613918093</v>
      </c>
      <c r="U12" s="142">
        <f t="shared" si="10"/>
        <v>1.1742590623977944</v>
      </c>
    </row>
    <row r="13" spans="3:21" ht="15" thickBot="1">
      <c r="C13" s="134">
        <v>8</v>
      </c>
      <c r="D13" s="135">
        <v>0.78</v>
      </c>
      <c r="E13" s="136">
        <v>5.1999999999999998E-2</v>
      </c>
      <c r="F13" s="137">
        <f t="shared" si="0"/>
        <v>0.78173141167539129</v>
      </c>
      <c r="G13" s="138">
        <f t="shared" si="1"/>
        <v>1279.2117408418062</v>
      </c>
      <c r="H13" s="139">
        <f t="shared" si="3"/>
        <v>0.66662700000000008</v>
      </c>
      <c r="I13" s="136">
        <v>5.1999999999999998E-2</v>
      </c>
      <c r="J13" s="140">
        <f t="shared" si="2"/>
        <v>0.66865204488508079</v>
      </c>
      <c r="K13" s="141">
        <f t="shared" si="4"/>
        <v>1495.5461628355101</v>
      </c>
      <c r="L13" s="142">
        <f t="shared" si="5"/>
        <v>1.1691154130991179</v>
      </c>
      <c r="M13" s="139">
        <v>1.3</v>
      </c>
      <c r="N13" s="136">
        <v>5.1999999999999998E-2</v>
      </c>
      <c r="O13" s="137">
        <f t="shared" si="6"/>
        <v>1.3010395843324676</v>
      </c>
      <c r="P13" s="138">
        <f t="shared" si="7"/>
        <v>768.61612209368423</v>
      </c>
      <c r="Q13" s="139">
        <f t="shared" si="11"/>
        <v>1.1069500000000001</v>
      </c>
      <c r="R13" s="136">
        <v>5.1999999999999998E-2</v>
      </c>
      <c r="S13" s="140">
        <f t="shared" si="8"/>
        <v>1.1081707009752606</v>
      </c>
      <c r="T13" s="141">
        <f t="shared" si="9"/>
        <v>902.38805187678804</v>
      </c>
      <c r="U13" s="142">
        <f t="shared" si="10"/>
        <v>1.1740425759203614</v>
      </c>
    </row>
    <row r="14" spans="3:21" ht="15" thickBot="1">
      <c r="C14" s="134">
        <v>6</v>
      </c>
      <c r="D14" s="135">
        <v>0.49</v>
      </c>
      <c r="E14" s="136">
        <v>5.0999999999999997E-2</v>
      </c>
      <c r="F14" s="137">
        <f t="shared" si="0"/>
        <v>0.49264693239682306</v>
      </c>
      <c r="G14" s="138">
        <f t="shared" si="1"/>
        <v>2029.8512671839967</v>
      </c>
      <c r="H14" s="139">
        <f t="shared" si="3"/>
        <v>0.4187785</v>
      </c>
      <c r="I14" s="136">
        <v>5.0999999999999997E-2</v>
      </c>
      <c r="J14" s="140">
        <f t="shared" si="2"/>
        <v>0.42187253058506902</v>
      </c>
      <c r="K14" s="141">
        <f t="shared" si="4"/>
        <v>2370.3842452438457</v>
      </c>
      <c r="L14" s="142">
        <f t="shared" si="5"/>
        <v>1.1677625270211394</v>
      </c>
      <c r="M14" s="139">
        <v>0.81</v>
      </c>
      <c r="N14" s="136">
        <v>5.0999999999999997E-2</v>
      </c>
      <c r="O14" s="137">
        <f t="shared" si="6"/>
        <v>0.81160396746196362</v>
      </c>
      <c r="P14" s="138">
        <f t="shared" si="7"/>
        <v>1232.1280329951883</v>
      </c>
      <c r="Q14" s="139">
        <f t="shared" si="11"/>
        <v>0.68971500000000008</v>
      </c>
      <c r="R14" s="136">
        <v>5.0999999999999997E-2</v>
      </c>
      <c r="S14" s="140">
        <f t="shared" si="8"/>
        <v>0.69159799105043684</v>
      </c>
      <c r="T14" s="141">
        <f t="shared" si="9"/>
        <v>1445.9266986608004</v>
      </c>
      <c r="U14" s="142">
        <f t="shared" si="10"/>
        <v>1.1735198452922848</v>
      </c>
    </row>
    <row r="15" spans="3:21" ht="15" thickBot="1">
      <c r="C15" s="134">
        <v>4</v>
      </c>
      <c r="D15" s="135">
        <v>0.31</v>
      </c>
      <c r="E15" s="136">
        <v>4.8000000000000001E-2</v>
      </c>
      <c r="F15" s="137">
        <f t="shared" si="0"/>
        <v>0.31369411852950002</v>
      </c>
      <c r="G15" s="138">
        <f t="shared" si="1"/>
        <v>3187.8187729106539</v>
      </c>
      <c r="H15" s="139">
        <f t="shared" si="3"/>
        <v>0.2649415</v>
      </c>
      <c r="I15" s="136">
        <v>4.8000000000000001E-2</v>
      </c>
      <c r="J15" s="140">
        <f t="shared" si="2"/>
        <v>0.26925452349449952</v>
      </c>
      <c r="K15" s="141">
        <f t="shared" si="4"/>
        <v>3713.9580313139236</v>
      </c>
      <c r="L15" s="142">
        <f t="shared" si="5"/>
        <v>1.1650467908885784</v>
      </c>
      <c r="M15" s="139">
        <v>0.51</v>
      </c>
      <c r="N15" s="136">
        <v>4.8000000000000001E-2</v>
      </c>
      <c r="O15" s="137">
        <f t="shared" si="6"/>
        <v>0.51225384332379587</v>
      </c>
      <c r="P15" s="138">
        <f t="shared" si="7"/>
        <v>1952.1571444177523</v>
      </c>
      <c r="Q15" s="139">
        <f t="shared" si="11"/>
        <v>0.43426500000000001</v>
      </c>
      <c r="R15" s="136">
        <v>4.8000000000000001E-2</v>
      </c>
      <c r="S15" s="140">
        <f t="shared" si="8"/>
        <v>0.43690970488763464</v>
      </c>
      <c r="T15" s="141">
        <f t="shared" si="9"/>
        <v>2288.8024431894505</v>
      </c>
      <c r="U15" s="142">
        <f t="shared" si="10"/>
        <v>1.1724478481326899</v>
      </c>
    </row>
    <row r="16" spans="3:21" ht="15" thickBot="1">
      <c r="C16" s="134">
        <v>3</v>
      </c>
      <c r="D16" s="135">
        <v>0.25</v>
      </c>
      <c r="E16" s="136">
        <v>4.7E-2</v>
      </c>
      <c r="F16" s="137">
        <f t="shared" si="0"/>
        <v>0.25437963754986365</v>
      </c>
      <c r="G16" s="138">
        <f t="shared" si="1"/>
        <v>3931.132262125263</v>
      </c>
      <c r="H16" s="139">
        <f t="shared" si="3"/>
        <v>0.21366250000000001</v>
      </c>
      <c r="I16" s="136">
        <v>4.7E-2</v>
      </c>
      <c r="J16" s="140">
        <f t="shared" si="2"/>
        <v>0.21877080222518269</v>
      </c>
      <c r="K16" s="141">
        <f t="shared" si="4"/>
        <v>4570.9938887123126</v>
      </c>
      <c r="L16" s="142">
        <f t="shared" si="5"/>
        <v>1.1627677686532798</v>
      </c>
      <c r="M16" s="139">
        <v>0.4</v>
      </c>
      <c r="N16" s="136">
        <v>4.7E-2</v>
      </c>
      <c r="O16" s="137">
        <f t="shared" si="6"/>
        <v>0.4027517846018811</v>
      </c>
      <c r="P16" s="138">
        <f t="shared" si="7"/>
        <v>2482.9188553155559</v>
      </c>
      <c r="Q16" s="139">
        <f t="shared" si="11"/>
        <v>0.34060000000000001</v>
      </c>
      <c r="R16" s="136">
        <v>4.7E-2</v>
      </c>
      <c r="S16" s="140">
        <f t="shared" si="8"/>
        <v>0.34382751489664115</v>
      </c>
      <c r="T16" s="141">
        <f t="shared" si="9"/>
        <v>2908.4350631467423</v>
      </c>
      <c r="U16" s="142">
        <f t="shared" si="10"/>
        <v>1.1713774120810352</v>
      </c>
    </row>
    <row r="17" spans="3:21" ht="15" thickBot="1">
      <c r="C17" s="134">
        <v>2</v>
      </c>
      <c r="D17" s="135">
        <v>0.19</v>
      </c>
      <c r="E17" s="136">
        <v>4.4999999999999998E-2</v>
      </c>
      <c r="F17" s="137">
        <f t="shared" si="0"/>
        <v>0.19525624189766635</v>
      </c>
      <c r="G17" s="138">
        <f t="shared" si="1"/>
        <v>5121.4751973158391</v>
      </c>
      <c r="H17" s="139">
        <f t="shared" si="3"/>
        <v>0.16238350000000001</v>
      </c>
      <c r="I17" s="136">
        <v>4.4999999999999998E-2</v>
      </c>
      <c r="J17" s="140">
        <f t="shared" si="2"/>
        <v>0.1685034156100404</v>
      </c>
      <c r="K17" s="141">
        <f t="shared" si="4"/>
        <v>5934.5978025410086</v>
      </c>
      <c r="L17" s="142">
        <f t="shared" si="5"/>
        <v>1.1587672640983064</v>
      </c>
      <c r="M17" s="139">
        <v>0.32</v>
      </c>
      <c r="N17" s="136">
        <v>4.4999999999999998E-2</v>
      </c>
      <c r="O17" s="137">
        <f t="shared" si="6"/>
        <v>0.3231485726411305</v>
      </c>
      <c r="P17" s="138">
        <f t="shared" si="7"/>
        <v>3094.5518088688577</v>
      </c>
      <c r="Q17" s="139">
        <f t="shared" si="11"/>
        <v>0.27248</v>
      </c>
      <c r="R17" s="136">
        <v>4.4999999999999998E-2</v>
      </c>
      <c r="S17" s="140">
        <f t="shared" si="8"/>
        <v>0.27617087174428806</v>
      </c>
      <c r="T17" s="141">
        <f t="shared" si="9"/>
        <v>3620.9466758171347</v>
      </c>
      <c r="U17" s="142">
        <f t="shared" si="10"/>
        <v>1.1701037498999536</v>
      </c>
    </row>
    <row r="18" spans="3:21" ht="15" thickBot="1">
      <c r="C18" s="134">
        <v>1</v>
      </c>
      <c r="D18" s="135">
        <v>0.15</v>
      </c>
      <c r="E18" s="136">
        <v>4.5999999999999999E-2</v>
      </c>
      <c r="F18" s="137">
        <f t="shared" si="0"/>
        <v>0.1568948692596415</v>
      </c>
      <c r="G18" s="138">
        <f t="shared" si="1"/>
        <v>6373.6947213049043</v>
      </c>
      <c r="H18" s="139">
        <f t="shared" si="3"/>
        <v>0.12819749999999999</v>
      </c>
      <c r="I18" s="136">
        <v>4.5999999999999999E-2</v>
      </c>
      <c r="J18" s="140">
        <f t="shared" si="2"/>
        <v>0.13620058372213387</v>
      </c>
      <c r="K18" s="141">
        <f t="shared" si="4"/>
        <v>7342.1124394013204</v>
      </c>
      <c r="L18" s="142">
        <f t="shared" si="5"/>
        <v>1.1519397712694575</v>
      </c>
      <c r="M18" s="139">
        <v>0.25</v>
      </c>
      <c r="N18" s="136">
        <v>4.5999999999999999E-2</v>
      </c>
      <c r="O18" s="137">
        <f t="shared" si="6"/>
        <v>0.25419677417308034</v>
      </c>
      <c r="P18" s="138">
        <f t="shared" si="7"/>
        <v>3933.9602292478694</v>
      </c>
      <c r="Q18" s="139">
        <f t="shared" si="11"/>
        <v>0.21287500000000001</v>
      </c>
      <c r="R18" s="136">
        <v>4.5999999999999999E-2</v>
      </c>
      <c r="S18" s="140">
        <f t="shared" si="8"/>
        <v>0.21778835052637688</v>
      </c>
      <c r="T18" s="141">
        <f t="shared" si="9"/>
        <v>4591.6138194861232</v>
      </c>
      <c r="U18" s="142">
        <f t="shared" si="10"/>
        <v>1.1671734211619089</v>
      </c>
    </row>
    <row r="19" spans="3:21" ht="15" thickBot="1">
      <c r="C19" s="134" t="s">
        <v>193</v>
      </c>
      <c r="D19" s="135">
        <v>0.12</v>
      </c>
      <c r="E19" s="136">
        <v>4.3999999999999997E-2</v>
      </c>
      <c r="F19" s="137">
        <f t="shared" si="0"/>
        <v>0.12781236246936367</v>
      </c>
      <c r="G19" s="138">
        <f t="shared" si="1"/>
        <v>7823.9692990550711</v>
      </c>
      <c r="H19" s="139">
        <f t="shared" si="3"/>
        <v>0.102558</v>
      </c>
      <c r="I19" s="136">
        <v>4.3999999999999997E-2</v>
      </c>
      <c r="J19" s="140">
        <f t="shared" si="2"/>
        <v>0.11159813333564321</v>
      </c>
      <c r="K19" s="141">
        <f t="shared" si="4"/>
        <v>8960.7233571944616</v>
      </c>
      <c r="L19" s="142">
        <f t="shared" si="5"/>
        <v>1.1452912217174318</v>
      </c>
      <c r="M19" s="139">
        <v>0.2</v>
      </c>
      <c r="N19" s="136">
        <v>4.3999999999999997E-2</v>
      </c>
      <c r="O19" s="137">
        <f t="shared" si="6"/>
        <v>0.20478281177872329</v>
      </c>
      <c r="P19" s="138">
        <f t="shared" si="7"/>
        <v>4883.2223335254494</v>
      </c>
      <c r="Q19" s="139">
        <f t="shared" si="11"/>
        <v>0.17030000000000001</v>
      </c>
      <c r="R19" s="136">
        <v>4.3999999999999997E-2</v>
      </c>
      <c r="S19" s="140">
        <f t="shared" si="8"/>
        <v>0.17589226816435111</v>
      </c>
      <c r="T19" s="141">
        <f t="shared" si="9"/>
        <v>5685.2982250795412</v>
      </c>
      <c r="U19" s="142">
        <f t="shared" si="10"/>
        <v>1.1642513563323733</v>
      </c>
    </row>
    <row r="20" spans="3:21" ht="15" thickBot="1">
      <c r="C20" s="134" t="s">
        <v>194</v>
      </c>
      <c r="D20" s="135">
        <v>0.1</v>
      </c>
      <c r="E20" s="136">
        <v>4.2999999999999997E-2</v>
      </c>
      <c r="F20" s="137">
        <f t="shared" si="0"/>
        <v>0.10885311203635843</v>
      </c>
      <c r="G20" s="138">
        <f t="shared" si="1"/>
        <v>9186.6918758003558</v>
      </c>
      <c r="H20" s="139">
        <f t="shared" si="3"/>
        <v>8.5465000000000013E-2</v>
      </c>
      <c r="I20" s="136">
        <v>4.2999999999999997E-2</v>
      </c>
      <c r="J20" s="140">
        <f t="shared" si="2"/>
        <v>9.5672703656790217E-2</v>
      </c>
      <c r="K20" s="141">
        <f t="shared" si="4"/>
        <v>10452.3020859464</v>
      </c>
      <c r="L20" s="142">
        <f t="shared" si="5"/>
        <v>1.1377656099993865</v>
      </c>
      <c r="M20" s="139">
        <v>0.16</v>
      </c>
      <c r="N20" s="136">
        <v>4.2999999999999997E-2</v>
      </c>
      <c r="O20" s="137">
        <f t="shared" si="6"/>
        <v>0.16567739737212195</v>
      </c>
      <c r="P20" s="138">
        <f t="shared" si="7"/>
        <v>6035.8263460279768</v>
      </c>
      <c r="Q20" s="139">
        <f t="shared" si="11"/>
        <v>0.13624</v>
      </c>
      <c r="R20" s="136">
        <v>4.2999999999999997E-2</v>
      </c>
      <c r="S20" s="140">
        <f t="shared" si="8"/>
        <v>0.14286475282588074</v>
      </c>
      <c r="T20" s="141">
        <f t="shared" si="9"/>
        <v>6999.6271313944726</v>
      </c>
      <c r="U20" s="142">
        <f t="shared" si="10"/>
        <v>1.1596800057047281</v>
      </c>
    </row>
    <row r="21" spans="3:21" ht="15" thickBot="1">
      <c r="C21" s="134" t="s">
        <v>195</v>
      </c>
      <c r="D21" s="135">
        <v>7.6999999999999999E-2</v>
      </c>
      <c r="E21" s="136">
        <v>4.2000000000000003E-2</v>
      </c>
      <c r="F21" s="137">
        <f t="shared" si="0"/>
        <v>8.7709748602991675E-2</v>
      </c>
      <c r="G21" s="138">
        <f t="shared" si="1"/>
        <v>11401.241206680317</v>
      </c>
      <c r="H21" s="139">
        <f t="shared" si="3"/>
        <v>6.5808050000000007E-2</v>
      </c>
      <c r="I21" s="136">
        <v>4.2000000000000003E-2</v>
      </c>
      <c r="J21" s="140">
        <f t="shared" si="2"/>
        <v>7.8068556056856211E-2</v>
      </c>
      <c r="K21" s="141">
        <f t="shared" si="4"/>
        <v>12809.25446183114</v>
      </c>
      <c r="L21" s="142">
        <f t="shared" si="5"/>
        <v>1.1234964886389587</v>
      </c>
      <c r="M21" s="139">
        <v>0.13</v>
      </c>
      <c r="N21" s="136">
        <v>4.2000000000000003E-2</v>
      </c>
      <c r="O21" s="137">
        <f t="shared" si="6"/>
        <v>0.13661625086350454</v>
      </c>
      <c r="P21" s="138">
        <f t="shared" si="7"/>
        <v>7319.7734067458468</v>
      </c>
      <c r="Q21" s="139">
        <f t="shared" si="11"/>
        <v>0.110695</v>
      </c>
      <c r="R21" s="136">
        <v>4.2000000000000003E-2</v>
      </c>
      <c r="S21" s="140">
        <f t="shared" si="8"/>
        <v>0.11839502956205551</v>
      </c>
      <c r="T21" s="141">
        <f t="shared" si="9"/>
        <v>8446.3005220659234</v>
      </c>
      <c r="U21" s="142">
        <f t="shared" si="10"/>
        <v>1.1539019109911077</v>
      </c>
    </row>
    <row r="22" spans="3:21" ht="15" thickBot="1">
      <c r="C22" s="134" t="s">
        <v>196</v>
      </c>
      <c r="D22" s="135">
        <v>6.2E-2</v>
      </c>
      <c r="E22" s="136">
        <v>4.1000000000000002E-2</v>
      </c>
      <c r="F22" s="137">
        <f t="shared" si="0"/>
        <v>7.433034373659253E-2</v>
      </c>
      <c r="G22" s="138">
        <f t="shared" si="1"/>
        <v>13453.455879926249</v>
      </c>
      <c r="H22" s="139">
        <f t="shared" si="3"/>
        <v>5.2988300000000002E-2</v>
      </c>
      <c r="I22" s="136">
        <v>4.1000000000000002E-2</v>
      </c>
      <c r="J22" s="140">
        <f t="shared" si="2"/>
        <v>6.6998208460301384E-2</v>
      </c>
      <c r="K22" s="141">
        <f t="shared" si="4"/>
        <v>14925.77224050002</v>
      </c>
      <c r="L22" s="142">
        <f t="shared" si="5"/>
        <v>1.1094377811704574</v>
      </c>
      <c r="M22" s="139">
        <v>0.1</v>
      </c>
      <c r="N22" s="136">
        <v>4.1000000000000002E-2</v>
      </c>
      <c r="O22" s="137">
        <f t="shared" si="6"/>
        <v>0.10807867504739314</v>
      </c>
      <c r="P22" s="138">
        <f t="shared" si="7"/>
        <v>9252.5190520839951</v>
      </c>
      <c r="Q22" s="139">
        <f t="shared" si="11"/>
        <v>8.5150000000000003E-2</v>
      </c>
      <c r="R22" s="136">
        <v>4.1000000000000002E-2</v>
      </c>
      <c r="S22" s="140">
        <f t="shared" si="8"/>
        <v>9.4506732564405171E-2</v>
      </c>
      <c r="T22" s="141">
        <f t="shared" si="9"/>
        <v>10581.2567302389</v>
      </c>
      <c r="U22" s="142">
        <f t="shared" si="10"/>
        <v>1.1436082077405316</v>
      </c>
    </row>
    <row r="23" spans="3:21" ht="15" thickBot="1">
      <c r="C23" s="134">
        <v>250</v>
      </c>
      <c r="D23" s="135">
        <v>5.1999999999999998E-2</v>
      </c>
      <c r="E23" s="136">
        <v>4.1000000000000002E-2</v>
      </c>
      <c r="F23" s="137">
        <f t="shared" si="0"/>
        <v>6.621933252457321E-2</v>
      </c>
      <c r="G23" s="138">
        <f t="shared" si="1"/>
        <v>15101.330108226504</v>
      </c>
      <c r="H23" s="139">
        <f t="shared" si="3"/>
        <v>4.4441799999999997E-2</v>
      </c>
      <c r="I23" s="136">
        <v>4.1000000000000002E-2</v>
      </c>
      <c r="J23" s="140">
        <f t="shared" si="2"/>
        <v>6.0465474340651623E-2</v>
      </c>
      <c r="K23" s="141">
        <f t="shared" si="4"/>
        <v>16538.363601783385</v>
      </c>
      <c r="L23" s="142">
        <f t="shared" si="5"/>
        <v>1.0951593987587922</v>
      </c>
      <c r="M23" s="139">
        <v>8.5000000000000006E-2</v>
      </c>
      <c r="N23" s="136">
        <v>4.1000000000000002E-2</v>
      </c>
      <c r="O23" s="137">
        <f t="shared" si="6"/>
        <v>9.4371605899232214E-2</v>
      </c>
      <c r="P23" s="138">
        <f t="shared" si="7"/>
        <v>10596.407579073906</v>
      </c>
      <c r="Q23" s="139">
        <f t="shared" si="11"/>
        <v>7.2377500000000011E-2</v>
      </c>
      <c r="R23" s="136">
        <v>4.1000000000000002E-2</v>
      </c>
      <c r="S23" s="140">
        <f t="shared" si="8"/>
        <v>8.318354708865211E-2</v>
      </c>
      <c r="T23" s="141">
        <f t="shared" si="9"/>
        <v>12021.608058313011</v>
      </c>
      <c r="U23" s="142">
        <f t="shared" si="10"/>
        <v>1.1344984579541497</v>
      </c>
    </row>
    <row r="24" spans="3:21" ht="15" thickBot="1">
      <c r="C24" s="134">
        <v>300</v>
      </c>
      <c r="D24" s="135">
        <v>4.3999999999999997E-2</v>
      </c>
      <c r="E24" s="136">
        <v>4.1000000000000002E-2</v>
      </c>
      <c r="F24" s="137">
        <f t="shared" si="0"/>
        <v>6.0141499815019581E-2</v>
      </c>
      <c r="G24" s="138">
        <f t="shared" si="1"/>
        <v>16627.453639762116</v>
      </c>
      <c r="H24" s="139">
        <f t="shared" si="3"/>
        <v>3.7604600000000002E-2</v>
      </c>
      <c r="I24" s="136">
        <v>4.1000000000000002E-2</v>
      </c>
      <c r="J24" s="140">
        <f t="shared" si="2"/>
        <v>5.563367632252969E-2</v>
      </c>
      <c r="K24" s="141">
        <f t="shared" si="4"/>
        <v>17974.724413368222</v>
      </c>
      <c r="L24" s="142">
        <f t="shared" si="5"/>
        <v>1.0810268849816129</v>
      </c>
      <c r="M24" s="139">
        <v>7.0999999999999994E-2</v>
      </c>
      <c r="N24" s="136">
        <v>4.1000000000000002E-2</v>
      </c>
      <c r="O24" s="137">
        <f t="shared" si="6"/>
        <v>8.1987803971078521E-2</v>
      </c>
      <c r="P24" s="138">
        <f t="shared" si="7"/>
        <v>12196.936026640662</v>
      </c>
      <c r="Q24" s="139">
        <f t="shared" si="11"/>
        <v>6.0456499999999996E-2</v>
      </c>
      <c r="R24" s="136">
        <v>4.1000000000000002E-2</v>
      </c>
      <c r="S24" s="140">
        <f t="shared" si="8"/>
        <v>7.3047850017984778E-2</v>
      </c>
      <c r="T24" s="141">
        <f t="shared" si="9"/>
        <v>13689.656844846148</v>
      </c>
      <c r="U24" s="142">
        <f t="shared" si="10"/>
        <v>1.1223849018265792</v>
      </c>
    </row>
    <row r="25" spans="3:21" ht="15" thickBot="1">
      <c r="C25" s="134">
        <v>350</v>
      </c>
      <c r="D25" s="135">
        <v>3.7999999999999999E-2</v>
      </c>
      <c r="E25" s="136">
        <v>0.04</v>
      </c>
      <c r="F25" s="137">
        <f t="shared" si="0"/>
        <v>5.5172456896534883E-2</v>
      </c>
      <c r="G25" s="138">
        <f t="shared" si="1"/>
        <v>18124.985839860346</v>
      </c>
      <c r="H25" s="139">
        <f t="shared" si="3"/>
        <v>3.2476699999999997E-2</v>
      </c>
      <c r="I25" s="136">
        <v>0.04</v>
      </c>
      <c r="J25" s="140">
        <f t="shared" si="2"/>
        <v>5.152413068543709E-2</v>
      </c>
      <c r="K25" s="141">
        <f t="shared" si="4"/>
        <v>19408.381795030313</v>
      </c>
      <c r="L25" s="142">
        <f t="shared" si="5"/>
        <v>1.0708081080178022</v>
      </c>
      <c r="M25" s="139">
        <v>6.0999999999999999E-2</v>
      </c>
      <c r="N25" s="136">
        <v>0.04</v>
      </c>
      <c r="O25" s="137">
        <f t="shared" si="6"/>
        <v>7.2945184899347537E-2</v>
      </c>
      <c r="P25" s="138">
        <f t="shared" si="7"/>
        <v>13708.924055506021</v>
      </c>
      <c r="Q25" s="139">
        <f t="shared" si="11"/>
        <v>5.1941500000000002E-2</v>
      </c>
      <c r="R25" s="136">
        <v>0.04</v>
      </c>
      <c r="S25" s="140">
        <f t="shared" si="8"/>
        <v>6.5558519066937451E-2</v>
      </c>
      <c r="T25" s="141">
        <f t="shared" si="9"/>
        <v>15253.547734642487</v>
      </c>
      <c r="U25" s="142">
        <f t="shared" si="10"/>
        <v>1.1126728598745199</v>
      </c>
    </row>
    <row r="26" spans="3:21" ht="15" thickBot="1">
      <c r="C26" s="134">
        <v>400</v>
      </c>
      <c r="D26" s="135">
        <v>3.3000000000000002E-2</v>
      </c>
      <c r="E26" s="136">
        <v>0.04</v>
      </c>
      <c r="F26" s="137">
        <f t="shared" si="0"/>
        <v>5.1855568649856694E-2</v>
      </c>
      <c r="G26" s="138">
        <f t="shared" si="1"/>
        <v>19284.331963501929</v>
      </c>
      <c r="H26" s="139">
        <f t="shared" si="3"/>
        <v>2.8203450000000001E-2</v>
      </c>
      <c r="I26" s="136">
        <v>0.04</v>
      </c>
      <c r="J26" s="140">
        <f t="shared" si="2"/>
        <v>4.8943177174173118E-2</v>
      </c>
      <c r="K26" s="141">
        <f t="shared" si="4"/>
        <v>20431.857058264115</v>
      </c>
      <c r="L26" s="142">
        <f t="shared" si="5"/>
        <v>1.0595055663288739</v>
      </c>
      <c r="M26" s="139">
        <v>5.3999999999999999E-2</v>
      </c>
      <c r="N26" s="136">
        <v>0.04</v>
      </c>
      <c r="O26" s="137">
        <f t="shared" si="6"/>
        <v>6.7201190465645766E-2</v>
      </c>
      <c r="P26" s="138">
        <f t="shared" si="7"/>
        <v>14880.688765643441</v>
      </c>
      <c r="Q26" s="139">
        <f t="shared" si="11"/>
        <v>4.5981000000000001E-2</v>
      </c>
      <c r="R26" s="136">
        <v>0.04</v>
      </c>
      <c r="S26" s="140">
        <f t="shared" si="8"/>
        <v>6.0944666386813541E-2</v>
      </c>
      <c r="T26" s="141">
        <f t="shared" si="9"/>
        <v>16408.326754191039</v>
      </c>
      <c r="U26" s="142">
        <f t="shared" si="10"/>
        <v>1.1026590914309431</v>
      </c>
    </row>
    <row r="27" spans="3:21" ht="15" thickBot="1">
      <c r="C27" s="134">
        <v>500</v>
      </c>
      <c r="D27" s="144">
        <v>2.7E-2</v>
      </c>
      <c r="E27" s="136">
        <v>3.9E-2</v>
      </c>
      <c r="F27" s="137">
        <f t="shared" si="0"/>
        <v>4.7434164902525687E-2</v>
      </c>
      <c r="G27" s="138">
        <f t="shared" si="1"/>
        <v>21081.851067789197</v>
      </c>
      <c r="H27" s="139">
        <f t="shared" si="3"/>
        <v>2.307555E-2</v>
      </c>
      <c r="I27" s="136">
        <v>3.9E-2</v>
      </c>
      <c r="J27" s="140">
        <f t="shared" si="2"/>
        <v>4.5315350686080981E-2</v>
      </c>
      <c r="K27" s="141">
        <f t="shared" si="4"/>
        <v>22067.577208602714</v>
      </c>
      <c r="L27" s="142">
        <f t="shared" si="5"/>
        <v>1.0467570963120787</v>
      </c>
      <c r="M27" s="145">
        <v>4.2999999999999997E-2</v>
      </c>
      <c r="N27" s="136">
        <v>3.9E-2</v>
      </c>
      <c r="O27" s="137">
        <f t="shared" si="6"/>
        <v>5.8051701094799971E-2</v>
      </c>
      <c r="P27" s="138">
        <f t="shared" si="7"/>
        <v>17226.024063738863</v>
      </c>
      <c r="Q27" s="139">
        <f t="shared" si="11"/>
        <v>3.6614500000000001E-2</v>
      </c>
      <c r="R27" s="136">
        <v>3.9E-2</v>
      </c>
      <c r="S27" s="140">
        <f t="shared" si="8"/>
        <v>5.3494126876228197E-2</v>
      </c>
      <c r="T27" s="141">
        <f t="shared" si="9"/>
        <v>18693.640935831059</v>
      </c>
      <c r="U27" s="142">
        <f t="shared" si="10"/>
        <v>1.0851976559803815</v>
      </c>
    </row>
    <row r="28" spans="3:21" ht="15" thickBot="1">
      <c r="C28" s="134">
        <v>600</v>
      </c>
      <c r="D28" s="135">
        <v>2.3E-2</v>
      </c>
      <c r="E28" s="136">
        <v>3.9E-2</v>
      </c>
      <c r="F28" s="137">
        <f t="shared" si="0"/>
        <v>4.527692569068708E-2</v>
      </c>
      <c r="G28" s="138">
        <f t="shared" si="1"/>
        <v>22086.30521496931</v>
      </c>
      <c r="H28" s="139">
        <f t="shared" si="3"/>
        <v>1.9656949999999999E-2</v>
      </c>
      <c r="I28" s="136">
        <v>3.9E-2</v>
      </c>
      <c r="J28" s="140">
        <f t="shared" si="2"/>
        <v>4.3673741347662214E-2</v>
      </c>
      <c r="K28" s="141">
        <f t="shared" si="4"/>
        <v>22897.053678995799</v>
      </c>
      <c r="L28" s="142">
        <f t="shared" si="5"/>
        <v>1.036708197959566</v>
      </c>
      <c r="M28" s="139">
        <v>3.5999999999999997E-2</v>
      </c>
      <c r="N28" s="136">
        <v>3.9E-2</v>
      </c>
      <c r="O28" s="137">
        <f t="shared" si="6"/>
        <v>5.3075418038862399E-2</v>
      </c>
      <c r="P28" s="138">
        <f t="shared" si="7"/>
        <v>18841.113964807384</v>
      </c>
      <c r="Q28" s="139">
        <f t="shared" si="11"/>
        <v>3.0653999999999997E-2</v>
      </c>
      <c r="R28" s="136">
        <v>3.9E-2</v>
      </c>
      <c r="S28" s="140">
        <f t="shared" si="8"/>
        <v>4.960511784080348E-2</v>
      </c>
      <c r="T28" s="141">
        <f t="shared" si="9"/>
        <v>20159.21024941975</v>
      </c>
      <c r="U28" s="142">
        <f t="shared" si="10"/>
        <v>1.0699585113212726</v>
      </c>
    </row>
    <row r="29" spans="3:21" ht="15" thickBot="1">
      <c r="C29" s="134">
        <v>750</v>
      </c>
      <c r="D29" s="135">
        <v>1.9E-2</v>
      </c>
      <c r="E29" s="136">
        <v>3.7999999999999999E-2</v>
      </c>
      <c r="F29" s="137">
        <f t="shared" si="0"/>
        <v>4.2485291572496003E-2</v>
      </c>
      <c r="G29" s="138">
        <f t="shared" si="1"/>
        <v>23537.557657892525</v>
      </c>
      <c r="H29" s="139">
        <f t="shared" si="3"/>
        <v>1.6238349999999999E-2</v>
      </c>
      <c r="I29" s="136">
        <v>3.7999999999999999E-2</v>
      </c>
      <c r="J29" s="140">
        <f t="shared" si="2"/>
        <v>4.132413351447916E-2</v>
      </c>
      <c r="K29" s="141">
        <f t="shared" si="4"/>
        <v>24198.934495495705</v>
      </c>
      <c r="L29" s="142">
        <f t="shared" si="5"/>
        <v>1.0280987877848664</v>
      </c>
      <c r="M29" s="139">
        <v>2.9000000000000001E-2</v>
      </c>
      <c r="N29" s="136">
        <v>3.7999999999999999E-2</v>
      </c>
      <c r="O29" s="137">
        <f t="shared" si="6"/>
        <v>4.7801673610868484E-2</v>
      </c>
      <c r="P29" s="138">
        <f t="shared" si="7"/>
        <v>20919.769632765197</v>
      </c>
      <c r="Q29" s="139">
        <f t="shared" si="11"/>
        <v>2.4693500000000004E-2</v>
      </c>
      <c r="R29" s="136">
        <v>3.7999999999999999E-2</v>
      </c>
      <c r="S29" s="140">
        <f t="shared" si="8"/>
        <v>4.5318527582546196E-2</v>
      </c>
      <c r="T29" s="141">
        <f t="shared" si="9"/>
        <v>22066.030238483214</v>
      </c>
      <c r="U29" s="142">
        <f t="shared" si="10"/>
        <v>1.054793175347529</v>
      </c>
    </row>
    <row r="30" spans="3:21" ht="15" thickBot="1">
      <c r="C30" s="134">
        <v>1000</v>
      </c>
      <c r="D30" s="135">
        <v>1.4999999999999999E-2</v>
      </c>
      <c r="E30" s="136">
        <v>3.6999999999999998E-2</v>
      </c>
      <c r="F30" s="137">
        <f t="shared" si="0"/>
        <v>3.9924929555354254E-2</v>
      </c>
      <c r="G30" s="138">
        <f t="shared" si="1"/>
        <v>25047.007249281221</v>
      </c>
      <c r="H30" s="139">
        <f t="shared" si="3"/>
        <v>1.281975E-2</v>
      </c>
      <c r="I30" s="136">
        <v>3.6999999999999998E-2</v>
      </c>
      <c r="J30" s="140">
        <f t="shared" si="2"/>
        <v>3.915796202641935E-2</v>
      </c>
      <c r="K30" s="141">
        <f t="shared" si="4"/>
        <v>25537.590524382074</v>
      </c>
      <c r="L30" s="142">
        <f t="shared" si="5"/>
        <v>1.0195865026994366</v>
      </c>
      <c r="M30" s="139">
        <v>2.3E-2</v>
      </c>
      <c r="N30" s="136">
        <v>3.6999999999999998E-2</v>
      </c>
      <c r="O30" s="137">
        <f t="shared" si="6"/>
        <v>4.3566041821583926E-2</v>
      </c>
      <c r="P30" s="138">
        <f t="shared" si="7"/>
        <v>22953.657440244435</v>
      </c>
      <c r="Q30" s="139">
        <f t="shared" si="11"/>
        <v>1.9584500000000001E-2</v>
      </c>
      <c r="R30" s="136">
        <v>3.6999999999999998E-2</v>
      </c>
      <c r="S30" s="140">
        <f t="shared" si="8"/>
        <v>4.1863500095548629E-2</v>
      </c>
      <c r="T30" s="141">
        <f t="shared" si="9"/>
        <v>23887.157015481625</v>
      </c>
      <c r="U30" s="142">
        <f t="shared" si="10"/>
        <v>1.0406688815352143</v>
      </c>
    </row>
    <row r="31" spans="3:21" ht="15" thickBot="1">
      <c r="C31" s="146"/>
      <c r="D31" s="146"/>
      <c r="E31" s="146"/>
      <c r="F31" s="146"/>
      <c r="G31" s="146"/>
      <c r="H31" s="146"/>
      <c r="I31" s="146"/>
      <c r="J31" s="146"/>
      <c r="K31" s="146"/>
      <c r="L31" s="146"/>
      <c r="M31" s="146"/>
      <c r="N31" s="146"/>
      <c r="O31" s="146"/>
      <c r="P31" s="146"/>
      <c r="Q31" s="146"/>
      <c r="R31" s="146"/>
      <c r="S31" s="146"/>
      <c r="T31" s="146"/>
      <c r="U31" s="146"/>
    </row>
    <row r="32" spans="3:21" ht="15" thickBot="1">
      <c r="C32" s="129"/>
      <c r="D32" s="338" t="s">
        <v>197</v>
      </c>
      <c r="E32" s="339"/>
      <c r="F32" s="339"/>
      <c r="G32" s="339"/>
      <c r="H32" s="339"/>
      <c r="I32" s="339"/>
      <c r="J32" s="339"/>
      <c r="K32" s="339"/>
      <c r="L32" s="340"/>
      <c r="M32" s="338" t="s">
        <v>198</v>
      </c>
      <c r="N32" s="339"/>
      <c r="O32" s="339"/>
      <c r="P32" s="339"/>
      <c r="Q32" s="339"/>
      <c r="R32" s="339"/>
      <c r="S32" s="339"/>
      <c r="T32" s="339"/>
      <c r="U32" s="340"/>
    </row>
    <row r="33" spans="3:21" ht="15" thickBot="1">
      <c r="C33" s="129"/>
      <c r="D33" s="328" t="s">
        <v>182</v>
      </c>
      <c r="E33" s="329"/>
      <c r="F33" s="329"/>
      <c r="G33" s="329"/>
      <c r="H33" s="329"/>
      <c r="I33" s="329"/>
      <c r="J33" s="329"/>
      <c r="K33" s="329"/>
      <c r="L33" s="330"/>
      <c r="M33" s="328" t="s">
        <v>182</v>
      </c>
      <c r="N33" s="329"/>
      <c r="O33" s="329"/>
      <c r="P33" s="329"/>
      <c r="Q33" s="329"/>
      <c r="R33" s="329"/>
      <c r="S33" s="329"/>
      <c r="T33" s="329"/>
      <c r="U33" s="330"/>
    </row>
    <row r="34" spans="3:21" ht="18.75" thickBot="1">
      <c r="C34" s="154" t="s">
        <v>183</v>
      </c>
      <c r="D34" s="131" t="s">
        <v>184</v>
      </c>
      <c r="E34" s="132" t="s">
        <v>185</v>
      </c>
      <c r="F34" s="130" t="s">
        <v>186</v>
      </c>
      <c r="G34" s="133" t="s">
        <v>187</v>
      </c>
      <c r="H34" s="131" t="s">
        <v>188</v>
      </c>
      <c r="I34" s="132" t="s">
        <v>185</v>
      </c>
      <c r="J34" s="130" t="s">
        <v>189</v>
      </c>
      <c r="K34" s="130" t="s">
        <v>190</v>
      </c>
      <c r="L34" s="130" t="s">
        <v>191</v>
      </c>
      <c r="M34" s="131" t="s">
        <v>184</v>
      </c>
      <c r="N34" s="132" t="s">
        <v>185</v>
      </c>
      <c r="O34" s="130" t="s">
        <v>186</v>
      </c>
      <c r="P34" s="133" t="s">
        <v>187</v>
      </c>
      <c r="Q34" s="131" t="s">
        <v>188</v>
      </c>
      <c r="R34" s="132" t="s">
        <v>185</v>
      </c>
      <c r="S34" s="130" t="s">
        <v>189</v>
      </c>
      <c r="T34" s="130" t="s">
        <v>190</v>
      </c>
      <c r="U34" s="130" t="s">
        <v>191</v>
      </c>
    </row>
    <row r="35" spans="3:21" ht="15" thickBot="1">
      <c r="C35" s="134">
        <v>14</v>
      </c>
      <c r="D35" s="135">
        <v>3.1</v>
      </c>
      <c r="E35" s="136">
        <v>7.2999999999999995E-2</v>
      </c>
      <c r="F35" s="137">
        <f t="shared" ref="F35:F55" si="12">SQRT((D35*D35) + (E35*E35))</f>
        <v>3.1008593970059333</v>
      </c>
      <c r="G35" s="138">
        <f t="shared" ref="G35:G55" si="13">1/(F35/1000)</f>
        <v>322.4912425779641</v>
      </c>
      <c r="H35" s="139">
        <f>+D35*K$5</f>
        <v>2.6494150000000003</v>
      </c>
      <c r="I35" s="147">
        <v>7.2999999999999995E-2</v>
      </c>
      <c r="J35" s="140">
        <f t="shared" ref="J35:J55" si="14">SQRT((H35*H35) + (I35*I35))</f>
        <v>2.6504205029060959</v>
      </c>
      <c r="K35" s="141">
        <f>1/(J35/1000)</f>
        <v>377.29862069189932</v>
      </c>
      <c r="L35" s="142">
        <f t="shared" ref="L35:L55" si="15">+K35/G35</f>
        <v>1.1699499734498533</v>
      </c>
      <c r="M35" s="139">
        <v>0</v>
      </c>
      <c r="N35" s="134"/>
      <c r="O35" s="137"/>
      <c r="P35" s="138"/>
      <c r="Q35" s="143" t="s">
        <v>2</v>
      </c>
      <c r="R35" s="134"/>
      <c r="S35" s="140"/>
      <c r="T35" s="148"/>
      <c r="U35" s="142"/>
    </row>
    <row r="36" spans="3:21" ht="15" thickBot="1">
      <c r="C36" s="134">
        <v>12</v>
      </c>
      <c r="D36" s="135">
        <v>2</v>
      </c>
      <c r="E36" s="136">
        <v>6.8000000000000005E-2</v>
      </c>
      <c r="F36" s="137">
        <f t="shared" si="12"/>
        <v>2.0011556661089611</v>
      </c>
      <c r="G36" s="138">
        <f t="shared" si="13"/>
        <v>499.71125032186825</v>
      </c>
      <c r="H36" s="139">
        <f t="shared" ref="H36:H55" si="16">+D36*K$5</f>
        <v>1.7093</v>
      </c>
      <c r="I36" s="147">
        <v>6.8000000000000005E-2</v>
      </c>
      <c r="J36" s="140">
        <f t="shared" si="14"/>
        <v>1.7106520657339996</v>
      </c>
      <c r="K36" s="141">
        <f t="shared" ref="K36:K55" si="17">1/(J36/1000)</f>
        <v>584.57240956881787</v>
      </c>
      <c r="L36" s="142">
        <f t="shared" si="15"/>
        <v>1.169820389659608</v>
      </c>
      <c r="M36" s="139">
        <v>3.2</v>
      </c>
      <c r="N36" s="136">
        <v>6.8000000000000005E-2</v>
      </c>
      <c r="O36" s="137">
        <f t="shared" ref="O36:O55" si="18">SQRT((M36*M36) + (N36*N36))</f>
        <v>3.2007224184549341</v>
      </c>
      <c r="P36" s="138">
        <f t="shared" ref="P36:P55" si="19">1/(O36/1000)</f>
        <v>312.42946724593634</v>
      </c>
      <c r="Q36" s="139">
        <f>+M36*K$6</f>
        <v>2.7248000000000001</v>
      </c>
      <c r="R36" s="136">
        <v>6.8000000000000005E-2</v>
      </c>
      <c r="S36" s="140">
        <f t="shared" ref="S36:S55" si="20">SQRT((Q36*Q36) + (R36*R36))</f>
        <v>2.7256483705716699</v>
      </c>
      <c r="T36" s="141">
        <f t="shared" ref="T36:T55" si="21">1/(S36/1000)</f>
        <v>366.88518254842342</v>
      </c>
      <c r="U36" s="142">
        <f t="shared" ref="U36:U55" si="22">+T36/P36</f>
        <v>1.1742976287816698</v>
      </c>
    </row>
    <row r="37" spans="3:21" ht="15" thickBot="1">
      <c r="C37" s="134">
        <v>10</v>
      </c>
      <c r="D37" s="135">
        <v>1.2</v>
      </c>
      <c r="E37" s="136">
        <v>6.3E-2</v>
      </c>
      <c r="F37" s="137">
        <f t="shared" si="12"/>
        <v>1.2016526120306152</v>
      </c>
      <c r="G37" s="138">
        <f t="shared" si="13"/>
        <v>832.18726442923287</v>
      </c>
      <c r="H37" s="139">
        <f t="shared" si="16"/>
        <v>1.0255799999999999</v>
      </c>
      <c r="I37" s="147">
        <v>6.3E-2</v>
      </c>
      <c r="J37" s="140">
        <f t="shared" si="14"/>
        <v>1.027513180645387</v>
      </c>
      <c r="K37" s="141">
        <f t="shared" si="17"/>
        <v>973.22352533900755</v>
      </c>
      <c r="L37" s="142">
        <f t="shared" si="15"/>
        <v>1.1694765913132621</v>
      </c>
      <c r="M37" s="139">
        <v>2</v>
      </c>
      <c r="N37" s="136">
        <v>6.3E-2</v>
      </c>
      <c r="O37" s="137">
        <f t="shared" si="18"/>
        <v>2.000992003982025</v>
      </c>
      <c r="P37" s="138">
        <f t="shared" si="19"/>
        <v>499.7521219524989</v>
      </c>
      <c r="Q37" s="139">
        <f t="shared" ref="Q37:Q55" si="23">+M37*K$6</f>
        <v>1.7030000000000001</v>
      </c>
      <c r="R37" s="136">
        <v>6.3E-2</v>
      </c>
      <c r="S37" s="140">
        <f t="shared" si="20"/>
        <v>1.7041648981245918</v>
      </c>
      <c r="T37" s="141">
        <f t="shared" si="21"/>
        <v>586.79767497880346</v>
      </c>
      <c r="U37" s="142">
        <f t="shared" si="22"/>
        <v>1.1741774555878288</v>
      </c>
    </row>
    <row r="38" spans="3:21" ht="15" thickBot="1">
      <c r="C38" s="134">
        <v>8</v>
      </c>
      <c r="D38" s="135">
        <v>0.78</v>
      </c>
      <c r="E38" s="136">
        <v>6.5000000000000002E-2</v>
      </c>
      <c r="F38" s="137">
        <f t="shared" si="12"/>
        <v>0.78270364762149924</v>
      </c>
      <c r="G38" s="138">
        <f t="shared" si="13"/>
        <v>1277.6227669806149</v>
      </c>
      <c r="H38" s="139">
        <f t="shared" si="16"/>
        <v>0.66662700000000008</v>
      </c>
      <c r="I38" s="147">
        <v>6.5000000000000002E-2</v>
      </c>
      <c r="J38" s="140">
        <f t="shared" si="14"/>
        <v>0.66978844206883714</v>
      </c>
      <c r="K38" s="141">
        <f t="shared" si="17"/>
        <v>1493.0087430460999</v>
      </c>
      <c r="L38" s="142">
        <f t="shared" si="15"/>
        <v>1.168583389112972</v>
      </c>
      <c r="M38" s="139">
        <v>1.3</v>
      </c>
      <c r="N38" s="136">
        <v>6.5000000000000002E-2</v>
      </c>
      <c r="O38" s="137">
        <f t="shared" si="18"/>
        <v>1.3016239856425511</v>
      </c>
      <c r="P38" s="138">
        <f t="shared" si="19"/>
        <v>768.2710299060343</v>
      </c>
      <c r="Q38" s="139">
        <f t="shared" si="23"/>
        <v>1.1069500000000001</v>
      </c>
      <c r="R38" s="136">
        <v>6.5000000000000002E-2</v>
      </c>
      <c r="S38" s="140">
        <f t="shared" si="20"/>
        <v>1.1088567547253343</v>
      </c>
      <c r="T38" s="141">
        <f t="shared" si="21"/>
        <v>901.82974107210237</v>
      </c>
      <c r="U38" s="142">
        <f t="shared" si="22"/>
        <v>1.1738432219452599</v>
      </c>
    </row>
    <row r="39" spans="3:21" ht="15" thickBot="1">
      <c r="C39" s="134">
        <v>6</v>
      </c>
      <c r="D39" s="135">
        <v>0.49</v>
      </c>
      <c r="E39" s="136">
        <v>6.4000000000000001E-2</v>
      </c>
      <c r="F39" s="137">
        <f t="shared" si="12"/>
        <v>0.49416191678436733</v>
      </c>
      <c r="G39" s="138">
        <f t="shared" si="13"/>
        <v>2023.6282198904462</v>
      </c>
      <c r="H39" s="139">
        <f t="shared" si="16"/>
        <v>0.4187785</v>
      </c>
      <c r="I39" s="147">
        <v>6.4000000000000001E-2</v>
      </c>
      <c r="J39" s="140">
        <f t="shared" si="14"/>
        <v>0.42364068744898664</v>
      </c>
      <c r="K39" s="141">
        <f t="shared" si="17"/>
        <v>2360.4909292864286</v>
      </c>
      <c r="L39" s="142">
        <f t="shared" si="15"/>
        <v>1.166464722168294</v>
      </c>
      <c r="M39" s="139">
        <v>0.81</v>
      </c>
      <c r="N39" s="136">
        <v>6.4000000000000001E-2</v>
      </c>
      <c r="O39" s="137">
        <f t="shared" si="18"/>
        <v>0.8125244611702469</v>
      </c>
      <c r="P39" s="138">
        <f t="shared" si="19"/>
        <v>1230.732178277734</v>
      </c>
      <c r="Q39" s="139">
        <f t="shared" si="23"/>
        <v>0.68971500000000008</v>
      </c>
      <c r="R39" s="136">
        <v>6.4000000000000001E-2</v>
      </c>
      <c r="S39" s="140">
        <f t="shared" si="20"/>
        <v>0.69267797801359332</v>
      </c>
      <c r="T39" s="141">
        <f t="shared" si="21"/>
        <v>1443.6722860278021</v>
      </c>
      <c r="U39" s="142">
        <f t="shared" si="22"/>
        <v>1.1730190463111585</v>
      </c>
    </row>
    <row r="40" spans="3:21" ht="15" thickBot="1">
      <c r="C40" s="134">
        <v>4</v>
      </c>
      <c r="D40" s="135">
        <v>0.31</v>
      </c>
      <c r="E40" s="136">
        <v>0.06</v>
      </c>
      <c r="F40" s="137">
        <f t="shared" si="12"/>
        <v>0.31575306807693893</v>
      </c>
      <c r="G40" s="138">
        <f t="shared" si="13"/>
        <v>3167.0317760976814</v>
      </c>
      <c r="H40" s="139">
        <f t="shared" si="16"/>
        <v>0.2649415</v>
      </c>
      <c r="I40" s="147">
        <v>0.06</v>
      </c>
      <c r="J40" s="140">
        <f t="shared" si="14"/>
        <v>0.27165050786304451</v>
      </c>
      <c r="K40" s="141">
        <f t="shared" si="17"/>
        <v>3681.2005538534117</v>
      </c>
      <c r="L40" s="142">
        <f t="shared" si="15"/>
        <v>1.1623503690857415</v>
      </c>
      <c r="M40" s="139">
        <v>0.51</v>
      </c>
      <c r="N40" s="136">
        <v>0.06</v>
      </c>
      <c r="O40" s="137">
        <f t="shared" si="18"/>
        <v>0.51351728305871069</v>
      </c>
      <c r="P40" s="138">
        <f t="shared" si="19"/>
        <v>1947.3541261232867</v>
      </c>
      <c r="Q40" s="139">
        <f t="shared" si="23"/>
        <v>0.43426500000000001</v>
      </c>
      <c r="R40" s="136">
        <v>0.06</v>
      </c>
      <c r="S40" s="140">
        <f t="shared" si="20"/>
        <v>0.43839034002245075</v>
      </c>
      <c r="T40" s="141">
        <f t="shared" si="21"/>
        <v>2281.0721603692</v>
      </c>
      <c r="U40" s="142">
        <f t="shared" si="22"/>
        <v>1.1713699782536551</v>
      </c>
    </row>
    <row r="41" spans="3:21" ht="15" thickBot="1">
      <c r="C41" s="134">
        <v>3</v>
      </c>
      <c r="D41" s="135">
        <v>0.25</v>
      </c>
      <c r="E41" s="136">
        <v>5.8999999999999997E-2</v>
      </c>
      <c r="F41" s="137">
        <f t="shared" si="12"/>
        <v>0.25686767021172596</v>
      </c>
      <c r="G41" s="138">
        <f t="shared" si="13"/>
        <v>3893.0551251379329</v>
      </c>
      <c r="H41" s="139">
        <f t="shared" si="16"/>
        <v>0.21366250000000001</v>
      </c>
      <c r="I41" s="147">
        <v>5.8999999999999997E-2</v>
      </c>
      <c r="J41" s="140">
        <f t="shared" si="14"/>
        <v>0.22165889088022162</v>
      </c>
      <c r="K41" s="141">
        <f t="shared" si="17"/>
        <v>4511.4364509762545</v>
      </c>
      <c r="L41" s="142">
        <f t="shared" si="15"/>
        <v>1.1588421704705278</v>
      </c>
      <c r="M41" s="139">
        <v>0.4</v>
      </c>
      <c r="N41" s="136">
        <v>5.8999999999999997E-2</v>
      </c>
      <c r="O41" s="137">
        <f t="shared" si="18"/>
        <v>0.40432783728059096</v>
      </c>
      <c r="P41" s="138">
        <f t="shared" si="19"/>
        <v>2473.2405434306793</v>
      </c>
      <c r="Q41" s="139">
        <f t="shared" si="23"/>
        <v>0.34060000000000001</v>
      </c>
      <c r="R41" s="136">
        <v>5.8999999999999997E-2</v>
      </c>
      <c r="S41" s="140">
        <f t="shared" si="20"/>
        <v>0.34567233039397294</v>
      </c>
      <c r="T41" s="141">
        <f t="shared" si="21"/>
        <v>2892.9130626691194</v>
      </c>
      <c r="U41" s="142">
        <f t="shared" si="22"/>
        <v>1.1696852820697756</v>
      </c>
    </row>
    <row r="42" spans="3:21" ht="15" thickBot="1">
      <c r="C42" s="134">
        <v>2</v>
      </c>
      <c r="D42" s="135">
        <v>0.2</v>
      </c>
      <c r="E42" s="136">
        <v>5.7000000000000002E-2</v>
      </c>
      <c r="F42" s="137">
        <f t="shared" si="12"/>
        <v>0.20796393918177258</v>
      </c>
      <c r="G42" s="138">
        <f t="shared" si="13"/>
        <v>4808.5259585602571</v>
      </c>
      <c r="H42" s="139">
        <f t="shared" si="16"/>
        <v>0.17093000000000003</v>
      </c>
      <c r="I42" s="147">
        <v>5.7000000000000002E-2</v>
      </c>
      <c r="J42" s="140">
        <f t="shared" si="14"/>
        <v>0.18018342015845967</v>
      </c>
      <c r="K42" s="141">
        <f t="shared" si="17"/>
        <v>5549.9002023635949</v>
      </c>
      <c r="L42" s="142">
        <f t="shared" si="15"/>
        <v>1.1541791081492501</v>
      </c>
      <c r="M42" s="139">
        <v>0.32</v>
      </c>
      <c r="N42" s="136">
        <v>5.7000000000000002E-2</v>
      </c>
      <c r="O42" s="137">
        <f t="shared" si="18"/>
        <v>0.32503692097975578</v>
      </c>
      <c r="P42" s="138">
        <f t="shared" si="19"/>
        <v>3076.5735688909099</v>
      </c>
      <c r="Q42" s="139">
        <f t="shared" si="23"/>
        <v>0.27248</v>
      </c>
      <c r="R42" s="136">
        <v>5.7000000000000002E-2</v>
      </c>
      <c r="S42" s="140">
        <f t="shared" si="20"/>
        <v>0.27837807097542722</v>
      </c>
      <c r="T42" s="141">
        <f t="shared" si="21"/>
        <v>3592.2369764832206</v>
      </c>
      <c r="U42" s="142">
        <f t="shared" si="22"/>
        <v>1.1676096462657335</v>
      </c>
    </row>
    <row r="43" spans="3:21" ht="15" thickBot="1">
      <c r="C43" s="134">
        <v>1</v>
      </c>
      <c r="D43" s="135">
        <v>0.16</v>
      </c>
      <c r="E43" s="149">
        <v>5.7000000000000002E-2</v>
      </c>
      <c r="F43" s="137">
        <f t="shared" si="12"/>
        <v>0.16984993376507393</v>
      </c>
      <c r="G43" s="138">
        <f t="shared" si="13"/>
        <v>5887.5501322428481</v>
      </c>
      <c r="H43" s="139">
        <f t="shared" si="16"/>
        <v>0.136744</v>
      </c>
      <c r="I43" s="150">
        <v>5.7000000000000002E-2</v>
      </c>
      <c r="J43" s="140">
        <f t="shared" si="14"/>
        <v>0.14814830925798647</v>
      </c>
      <c r="K43" s="141">
        <f t="shared" si="17"/>
        <v>6749.9926594409735</v>
      </c>
      <c r="L43" s="142">
        <f t="shared" si="15"/>
        <v>1.1464858061207845</v>
      </c>
      <c r="M43" s="139">
        <v>0.25</v>
      </c>
      <c r="N43" s="149">
        <v>5.7000000000000002E-2</v>
      </c>
      <c r="O43" s="137">
        <f t="shared" si="18"/>
        <v>0.25641567814780747</v>
      </c>
      <c r="P43" s="138">
        <f t="shared" si="19"/>
        <v>3899.9175371155079</v>
      </c>
      <c r="Q43" s="139">
        <f t="shared" si="23"/>
        <v>0.21287500000000001</v>
      </c>
      <c r="R43" s="149">
        <v>5.7000000000000002E-2</v>
      </c>
      <c r="S43" s="140">
        <f t="shared" si="20"/>
        <v>0.22037414917589587</v>
      </c>
      <c r="T43" s="141">
        <f t="shared" si="21"/>
        <v>4537.7373151050979</v>
      </c>
      <c r="U43" s="142">
        <f t="shared" si="22"/>
        <v>1.1635469909092846</v>
      </c>
    </row>
    <row r="44" spans="3:21" ht="15" thickBot="1">
      <c r="C44" s="134" t="s">
        <v>193</v>
      </c>
      <c r="D44" s="135">
        <v>0.12</v>
      </c>
      <c r="E44" s="136">
        <v>5.5E-2</v>
      </c>
      <c r="F44" s="137">
        <f t="shared" si="12"/>
        <v>0.13200378782444086</v>
      </c>
      <c r="G44" s="138">
        <f t="shared" si="13"/>
        <v>7575.5401907857013</v>
      </c>
      <c r="H44" s="139">
        <f t="shared" si="16"/>
        <v>0.102558</v>
      </c>
      <c r="I44" s="147">
        <v>5.5E-2</v>
      </c>
      <c r="J44" s="140">
        <f t="shared" si="14"/>
        <v>0.11637501176799081</v>
      </c>
      <c r="K44" s="141">
        <f t="shared" si="17"/>
        <v>8592.9099796237533</v>
      </c>
      <c r="L44" s="142">
        <f t="shared" si="15"/>
        <v>1.1342966657447744</v>
      </c>
      <c r="M44" s="139">
        <v>0.2</v>
      </c>
      <c r="N44" s="136">
        <v>5.5E-2</v>
      </c>
      <c r="O44" s="137">
        <f t="shared" si="18"/>
        <v>0.20742468512691542</v>
      </c>
      <c r="P44" s="138">
        <f t="shared" si="19"/>
        <v>4821.0269640189508</v>
      </c>
      <c r="Q44" s="139">
        <f t="shared" si="23"/>
        <v>0.17030000000000001</v>
      </c>
      <c r="R44" s="136">
        <v>5.5E-2</v>
      </c>
      <c r="S44" s="140">
        <f t="shared" si="20"/>
        <v>0.17896114103346569</v>
      </c>
      <c r="T44" s="141">
        <f t="shared" si="21"/>
        <v>5587.8052309299937</v>
      </c>
      <c r="U44" s="142">
        <f t="shared" si="22"/>
        <v>1.1590487405761849</v>
      </c>
    </row>
    <row r="45" spans="3:21" ht="15" thickBot="1">
      <c r="C45" s="134" t="s">
        <v>194</v>
      </c>
      <c r="D45" s="144">
        <v>0.1</v>
      </c>
      <c r="E45" s="136">
        <v>5.3999999999999999E-2</v>
      </c>
      <c r="F45" s="137">
        <f t="shared" si="12"/>
        <v>0.11364858116140299</v>
      </c>
      <c r="G45" s="138">
        <f t="shared" si="13"/>
        <v>8799.0539765719241</v>
      </c>
      <c r="H45" s="139">
        <f t="shared" si="16"/>
        <v>8.5465000000000013E-2</v>
      </c>
      <c r="I45" s="147">
        <v>5.3999999999999999E-2</v>
      </c>
      <c r="J45" s="140">
        <f t="shared" si="14"/>
        <v>0.10109533236010455</v>
      </c>
      <c r="K45" s="141">
        <f t="shared" si="17"/>
        <v>9891.653518067189</v>
      </c>
      <c r="L45" s="142">
        <f t="shared" si="15"/>
        <v>1.1241723876685363</v>
      </c>
      <c r="M45" s="139">
        <v>0.16</v>
      </c>
      <c r="N45" s="136">
        <v>5.3999999999999999E-2</v>
      </c>
      <c r="O45" s="137">
        <f t="shared" si="18"/>
        <v>0.16886681142249355</v>
      </c>
      <c r="P45" s="138">
        <f t="shared" si="19"/>
        <v>5921.8267436699953</v>
      </c>
      <c r="Q45" s="139">
        <f t="shared" si="23"/>
        <v>0.13624</v>
      </c>
      <c r="R45" s="136">
        <v>5.3999999999999999E-2</v>
      </c>
      <c r="S45" s="140">
        <f t="shared" si="20"/>
        <v>0.14655148446876953</v>
      </c>
      <c r="T45" s="141">
        <f t="shared" si="21"/>
        <v>6823.5405709118031</v>
      </c>
      <c r="U45" s="142">
        <f t="shared" si="22"/>
        <v>1.1522695388218973</v>
      </c>
    </row>
    <row r="46" spans="3:21" ht="15" thickBot="1">
      <c r="C46" s="134" t="s">
        <v>195</v>
      </c>
      <c r="D46" s="135">
        <v>7.9000000000000001E-2</v>
      </c>
      <c r="E46" s="136">
        <v>5.1999999999999998E-2</v>
      </c>
      <c r="F46" s="137">
        <f t="shared" si="12"/>
        <v>9.4578010129204984E-2</v>
      </c>
      <c r="G46" s="138">
        <f t="shared" si="13"/>
        <v>10573.282295048069</v>
      </c>
      <c r="H46" s="139">
        <f t="shared" si="16"/>
        <v>6.7517350000000004E-2</v>
      </c>
      <c r="I46" s="147">
        <v>5.1999999999999998E-2</v>
      </c>
      <c r="J46" s="140">
        <f t="shared" si="14"/>
        <v>8.5220845753973248E-2</v>
      </c>
      <c r="K46" s="141">
        <f t="shared" si="17"/>
        <v>11734.218208616841</v>
      </c>
      <c r="L46" s="142">
        <f t="shared" si="15"/>
        <v>1.1097990085928651</v>
      </c>
      <c r="M46" s="139">
        <v>0.13</v>
      </c>
      <c r="N46" s="136">
        <v>5.1999999999999998E-2</v>
      </c>
      <c r="O46" s="137">
        <f t="shared" si="18"/>
        <v>0.14001428498549712</v>
      </c>
      <c r="P46" s="138">
        <f t="shared" si="19"/>
        <v>7142.1283914250716</v>
      </c>
      <c r="Q46" s="139">
        <f t="shared" si="23"/>
        <v>0.110695</v>
      </c>
      <c r="R46" s="136">
        <v>5.1999999999999998E-2</v>
      </c>
      <c r="S46" s="140">
        <f t="shared" si="20"/>
        <v>0.12230038031420834</v>
      </c>
      <c r="T46" s="141">
        <f t="shared" si="21"/>
        <v>8176.5894548393671</v>
      </c>
      <c r="U46" s="142">
        <f t="shared" si="22"/>
        <v>1.1448393261392895</v>
      </c>
    </row>
    <row r="47" spans="3:21" ht="15" thickBot="1">
      <c r="C47" s="134" t="s">
        <v>196</v>
      </c>
      <c r="D47" s="135">
        <v>6.3E-2</v>
      </c>
      <c r="E47" s="136">
        <v>5.0999999999999997E-2</v>
      </c>
      <c r="F47" s="137">
        <f t="shared" si="12"/>
        <v>8.1055536516637772E-2</v>
      </c>
      <c r="G47" s="138">
        <f t="shared" si="13"/>
        <v>12337.220169960088</v>
      </c>
      <c r="H47" s="139">
        <f t="shared" si="16"/>
        <v>5.3842950000000001E-2</v>
      </c>
      <c r="I47" s="147">
        <v>5.0999999999999997E-2</v>
      </c>
      <c r="J47" s="140">
        <f t="shared" si="14"/>
        <v>7.4162411400267317E-2</v>
      </c>
      <c r="K47" s="141">
        <f t="shared" si="17"/>
        <v>13483.919698927099</v>
      </c>
      <c r="L47" s="142">
        <f t="shared" si="15"/>
        <v>1.0929463455437969</v>
      </c>
      <c r="M47" s="139">
        <v>0.1</v>
      </c>
      <c r="N47" s="136">
        <v>5.0999999999999997E-2</v>
      </c>
      <c r="O47" s="137">
        <f t="shared" si="18"/>
        <v>0.11225417586887358</v>
      </c>
      <c r="P47" s="138">
        <f t="shared" si="19"/>
        <v>8908.3545646276943</v>
      </c>
      <c r="Q47" s="139">
        <f t="shared" si="23"/>
        <v>8.5150000000000003E-2</v>
      </c>
      <c r="R47" s="136">
        <v>5.0999999999999997E-2</v>
      </c>
      <c r="S47" s="140">
        <f t="shared" si="20"/>
        <v>9.9254836154214668E-2</v>
      </c>
      <c r="T47" s="141">
        <f t="shared" si="21"/>
        <v>10075.075822464465</v>
      </c>
      <c r="U47" s="142">
        <f t="shared" si="22"/>
        <v>1.1309693332671622</v>
      </c>
    </row>
    <row r="48" spans="3:21" ht="15" thickBot="1">
      <c r="C48" s="134">
        <v>250</v>
      </c>
      <c r="D48" s="135">
        <v>5.3999999999999999E-2</v>
      </c>
      <c r="E48" s="136">
        <v>5.1999999999999998E-2</v>
      </c>
      <c r="F48" s="137">
        <f t="shared" si="12"/>
        <v>7.4966659255965254E-2</v>
      </c>
      <c r="G48" s="138">
        <f t="shared" si="13"/>
        <v>13339.263212805205</v>
      </c>
      <c r="H48" s="139">
        <f t="shared" si="16"/>
        <v>4.61511E-2</v>
      </c>
      <c r="I48" s="147">
        <v>5.1999999999999998E-2</v>
      </c>
      <c r="J48" s="140">
        <f t="shared" si="14"/>
        <v>6.9526426854901721E-2</v>
      </c>
      <c r="K48" s="141">
        <f t="shared" si="17"/>
        <v>14383.020172846671</v>
      </c>
      <c r="L48" s="142">
        <f t="shared" si="15"/>
        <v>1.0782469723694708</v>
      </c>
      <c r="M48" s="139">
        <v>8.5999999999999993E-2</v>
      </c>
      <c r="N48" s="136">
        <v>5.1999999999999998E-2</v>
      </c>
      <c r="O48" s="137">
        <f t="shared" si="18"/>
        <v>0.10049875621120889</v>
      </c>
      <c r="P48" s="138">
        <f t="shared" si="19"/>
        <v>9950.3719020998924</v>
      </c>
      <c r="Q48" s="139">
        <f t="shared" si="23"/>
        <v>7.3229000000000002E-2</v>
      </c>
      <c r="R48" s="136">
        <v>5.1999999999999998E-2</v>
      </c>
      <c r="S48" s="140">
        <f t="shared" si="20"/>
        <v>8.9813620576168735E-2</v>
      </c>
      <c r="T48" s="141">
        <f t="shared" si="21"/>
        <v>11134.168666009011</v>
      </c>
      <c r="U48" s="142">
        <f t="shared" si="22"/>
        <v>1.1189701023797205</v>
      </c>
    </row>
    <row r="49" spans="3:21" ht="15" thickBot="1">
      <c r="C49" s="134">
        <v>300</v>
      </c>
      <c r="D49" s="135">
        <v>4.4999999999999998E-2</v>
      </c>
      <c r="E49" s="136">
        <v>5.0999999999999997E-2</v>
      </c>
      <c r="F49" s="137">
        <f t="shared" si="12"/>
        <v>6.8014704292527803E-2</v>
      </c>
      <c r="G49" s="138">
        <f t="shared" si="13"/>
        <v>14702.703046374365</v>
      </c>
      <c r="H49" s="139">
        <f t="shared" si="16"/>
        <v>3.845925E-2</v>
      </c>
      <c r="I49" s="147">
        <v>5.0999999999999997E-2</v>
      </c>
      <c r="J49" s="140">
        <f t="shared" si="14"/>
        <v>6.3875769353977249E-2</v>
      </c>
      <c r="K49" s="141">
        <f t="shared" si="17"/>
        <v>15655.38873525497</v>
      </c>
      <c r="L49" s="142">
        <f t="shared" si="15"/>
        <v>1.0647966354129375</v>
      </c>
      <c r="M49" s="139">
        <v>7.1999999999999995E-2</v>
      </c>
      <c r="N49" s="136">
        <v>5.0999999999999997E-2</v>
      </c>
      <c r="O49" s="137">
        <f t="shared" si="18"/>
        <v>8.8232647019116442E-2</v>
      </c>
      <c r="P49" s="138">
        <f t="shared" si="19"/>
        <v>11333.6733486341</v>
      </c>
      <c r="Q49" s="139">
        <f t="shared" si="23"/>
        <v>6.1307999999999994E-2</v>
      </c>
      <c r="R49" s="136">
        <v>5.0999999999999997E-2</v>
      </c>
      <c r="S49" s="140">
        <f t="shared" si="20"/>
        <v>7.9747544564080453E-2</v>
      </c>
      <c r="T49" s="141">
        <f t="shared" si="21"/>
        <v>12539.571035901407</v>
      </c>
      <c r="U49" s="142">
        <f t="shared" si="22"/>
        <v>1.1063995449818251</v>
      </c>
    </row>
    <row r="50" spans="3:21" ht="15" thickBot="1">
      <c r="C50" s="134">
        <v>350</v>
      </c>
      <c r="D50" s="135">
        <v>3.9E-2</v>
      </c>
      <c r="E50" s="136">
        <v>0.05</v>
      </c>
      <c r="F50" s="137">
        <f t="shared" si="12"/>
        <v>6.341135544995076E-2</v>
      </c>
      <c r="G50" s="138">
        <f t="shared" si="13"/>
        <v>15770.046120355822</v>
      </c>
      <c r="H50" s="139">
        <f t="shared" si="16"/>
        <v>3.3331350000000003E-2</v>
      </c>
      <c r="I50" s="147">
        <v>0.05</v>
      </c>
      <c r="J50" s="140">
        <f t="shared" si="14"/>
        <v>6.0091421125003368E-2</v>
      </c>
      <c r="K50" s="141">
        <f t="shared" si="17"/>
        <v>16641.310544474894</v>
      </c>
      <c r="L50" s="142">
        <f t="shared" si="15"/>
        <v>1.0552480580887111</v>
      </c>
      <c r="M50" s="139">
        <v>6.3E-2</v>
      </c>
      <c r="N50" s="136">
        <v>0.05</v>
      </c>
      <c r="O50" s="137">
        <f t="shared" si="18"/>
        <v>8.0430093870391572E-2</v>
      </c>
      <c r="P50" s="138">
        <f t="shared" si="19"/>
        <v>12433.157191280194</v>
      </c>
      <c r="Q50" s="139">
        <f t="shared" si="23"/>
        <v>5.3644500000000005E-2</v>
      </c>
      <c r="R50" s="136">
        <v>0.05</v>
      </c>
      <c r="S50" s="140">
        <f t="shared" si="20"/>
        <v>7.3333023804081618E-2</v>
      </c>
      <c r="T50" s="141">
        <f t="shared" si="21"/>
        <v>13636.421193698839</v>
      </c>
      <c r="U50" s="142">
        <f t="shared" si="22"/>
        <v>1.0967786366653947</v>
      </c>
    </row>
    <row r="51" spans="3:21" ht="15" thickBot="1">
      <c r="C51" s="134">
        <v>400</v>
      </c>
      <c r="D51" s="135">
        <v>3.5000000000000003E-2</v>
      </c>
      <c r="E51" s="136">
        <v>4.9000000000000002E-2</v>
      </c>
      <c r="F51" s="137">
        <f t="shared" si="12"/>
        <v>6.0216276869298396E-2</v>
      </c>
      <c r="G51" s="138">
        <f t="shared" si="13"/>
        <v>16606.805534831325</v>
      </c>
      <c r="H51" s="139">
        <f t="shared" si="16"/>
        <v>2.9912750000000005E-2</v>
      </c>
      <c r="I51" s="147">
        <v>4.9000000000000002E-2</v>
      </c>
      <c r="J51" s="140">
        <f t="shared" si="14"/>
        <v>5.7408819989288234E-2</v>
      </c>
      <c r="K51" s="141">
        <f t="shared" si="17"/>
        <v>17418.926223994633</v>
      </c>
      <c r="L51" s="142">
        <f t="shared" si="15"/>
        <v>1.0489028842699433</v>
      </c>
      <c r="M51" s="139">
        <v>5.5E-2</v>
      </c>
      <c r="N51" s="136">
        <v>4.9000000000000002E-2</v>
      </c>
      <c r="O51" s="137">
        <f t="shared" si="18"/>
        <v>7.3661387442811588E-2</v>
      </c>
      <c r="P51" s="138">
        <f t="shared" si="19"/>
        <v>13575.633513234719</v>
      </c>
      <c r="Q51" s="139">
        <f t="shared" si="23"/>
        <v>4.6832499999999999E-2</v>
      </c>
      <c r="R51" s="136">
        <v>4.9000000000000002E-2</v>
      </c>
      <c r="S51" s="140">
        <f t="shared" si="20"/>
        <v>6.7781140859755382E-2</v>
      </c>
      <c r="T51" s="141">
        <f t="shared" si="21"/>
        <v>14753.366309798181</v>
      </c>
      <c r="U51" s="142">
        <f t="shared" si="22"/>
        <v>1.0867534318317671</v>
      </c>
    </row>
    <row r="52" spans="3:21" ht="15" thickBot="1">
      <c r="C52" s="134">
        <v>500</v>
      </c>
      <c r="D52" s="135">
        <v>2.9000000000000001E-2</v>
      </c>
      <c r="E52" s="136">
        <v>4.8000000000000001E-2</v>
      </c>
      <c r="F52" s="137">
        <f t="shared" si="12"/>
        <v>5.6080299571239813E-2</v>
      </c>
      <c r="G52" s="138">
        <f t="shared" si="13"/>
        <v>17831.573790537299</v>
      </c>
      <c r="H52" s="139">
        <f t="shared" si="16"/>
        <v>2.4784850000000001E-2</v>
      </c>
      <c r="I52" s="147">
        <v>4.7999999999999996E-3</v>
      </c>
      <c r="J52" s="140">
        <f t="shared" si="14"/>
        <v>2.5245371645561093E-2</v>
      </c>
      <c r="K52" s="141">
        <f t="shared" si="17"/>
        <v>39611.221179064341</v>
      </c>
      <c r="L52" s="142">
        <f t="shared" si="15"/>
        <v>2.2214091501045674</v>
      </c>
      <c r="M52" s="145">
        <v>4.4999999999999998E-2</v>
      </c>
      <c r="N52" s="136">
        <v>4.8000000000000001E-2</v>
      </c>
      <c r="O52" s="137">
        <f t="shared" si="18"/>
        <v>6.5795136598383916E-2</v>
      </c>
      <c r="P52" s="138">
        <f t="shared" si="19"/>
        <v>15198.691752918441</v>
      </c>
      <c r="Q52" s="139">
        <f t="shared" si="23"/>
        <v>3.8317499999999997E-2</v>
      </c>
      <c r="R52" s="136">
        <v>4.8000000000000001E-2</v>
      </c>
      <c r="S52" s="140">
        <f t="shared" si="20"/>
        <v>6.1418489123797236E-2</v>
      </c>
      <c r="T52" s="141">
        <f t="shared" si="21"/>
        <v>16281.742098610815</v>
      </c>
      <c r="U52" s="142">
        <f t="shared" si="22"/>
        <v>1.0712594454377566</v>
      </c>
    </row>
    <row r="53" spans="3:21" ht="15" thickBot="1">
      <c r="C53" s="134">
        <v>600</v>
      </c>
      <c r="D53" s="144">
        <v>2.5000000000000001E-2</v>
      </c>
      <c r="E53" s="136">
        <v>4.8000000000000001E-2</v>
      </c>
      <c r="F53" s="137">
        <f t="shared" si="12"/>
        <v>5.4120236510939237E-2</v>
      </c>
      <c r="G53" s="138">
        <f t="shared" si="13"/>
        <v>18477.37675347874</v>
      </c>
      <c r="H53" s="139">
        <f t="shared" si="16"/>
        <v>2.1366250000000003E-2</v>
      </c>
      <c r="I53" s="147">
        <v>4.8000000000000001E-2</v>
      </c>
      <c r="J53" s="140">
        <f t="shared" si="14"/>
        <v>5.2540618944417659E-2</v>
      </c>
      <c r="K53" s="141">
        <f t="shared" si="17"/>
        <v>19032.893408771844</v>
      </c>
      <c r="L53" s="142">
        <f t="shared" si="15"/>
        <v>1.0300646927702286</v>
      </c>
      <c r="M53" s="139">
        <v>3.7999999999999999E-2</v>
      </c>
      <c r="N53" s="136">
        <v>4.8000000000000001E-2</v>
      </c>
      <c r="O53" s="137">
        <f t="shared" si="18"/>
        <v>6.1220911460055871E-2</v>
      </c>
      <c r="P53" s="138">
        <f t="shared" si="19"/>
        <v>16334.28800962003</v>
      </c>
      <c r="Q53" s="139">
        <f t="shared" si="23"/>
        <v>3.2357000000000004E-2</v>
      </c>
      <c r="R53" s="136">
        <v>4.8000000000000001E-2</v>
      </c>
      <c r="S53" s="140">
        <f t="shared" si="20"/>
        <v>5.7887610496547538E-2</v>
      </c>
      <c r="T53" s="141">
        <f t="shared" si="21"/>
        <v>17274.853659050943</v>
      </c>
      <c r="U53" s="142">
        <f t="shared" si="22"/>
        <v>1.0575822863461799</v>
      </c>
    </row>
    <row r="54" spans="3:21" ht="15" thickBot="1">
      <c r="C54" s="134">
        <v>750</v>
      </c>
      <c r="D54" s="135">
        <v>2.1000000000000001E-2</v>
      </c>
      <c r="E54" s="136">
        <v>4.8000000000000001E-2</v>
      </c>
      <c r="F54" s="137">
        <f t="shared" si="12"/>
        <v>5.2392747589718944E-2</v>
      </c>
      <c r="G54" s="138">
        <f t="shared" si="13"/>
        <v>19086.611143795606</v>
      </c>
      <c r="H54" s="139">
        <f t="shared" si="16"/>
        <v>1.7947650000000002E-2</v>
      </c>
      <c r="I54" s="147">
        <v>4.8000000000000001E-2</v>
      </c>
      <c r="J54" s="140">
        <f t="shared" si="14"/>
        <v>5.1245664602212936E-2</v>
      </c>
      <c r="K54" s="141">
        <f t="shared" si="17"/>
        <v>19513.845859203026</v>
      </c>
      <c r="L54" s="142">
        <f t="shared" si="15"/>
        <v>1.0223840006059064</v>
      </c>
      <c r="M54" s="139">
        <v>3.1E-2</v>
      </c>
      <c r="N54" s="136">
        <v>4.8000000000000001E-2</v>
      </c>
      <c r="O54" s="137">
        <f t="shared" si="18"/>
        <v>5.7140178508646611E-2</v>
      </c>
      <c r="P54" s="138">
        <f t="shared" si="19"/>
        <v>17500.82037018273</v>
      </c>
      <c r="Q54" s="139">
        <f t="shared" si="23"/>
        <v>2.63965E-2</v>
      </c>
      <c r="R54" s="136">
        <v>4.8000000000000001E-2</v>
      </c>
      <c r="S54" s="140">
        <f t="shared" si="20"/>
        <v>5.4779331980684104E-2</v>
      </c>
      <c r="T54" s="141">
        <f t="shared" si="21"/>
        <v>18255.060144811785</v>
      </c>
      <c r="U54" s="142">
        <f t="shared" si="22"/>
        <v>1.0430973953606255</v>
      </c>
    </row>
    <row r="55" spans="3:21" ht="15" thickBot="1">
      <c r="C55" s="134">
        <v>1000</v>
      </c>
      <c r="D55" s="135">
        <v>1.7999999999999999E-2</v>
      </c>
      <c r="E55" s="136">
        <v>4.5999999999999999E-2</v>
      </c>
      <c r="F55" s="137">
        <f t="shared" si="12"/>
        <v>4.9396356140913873E-2</v>
      </c>
      <c r="G55" s="138">
        <f t="shared" si="13"/>
        <v>20244.408254472903</v>
      </c>
      <c r="H55" s="139">
        <f t="shared" si="16"/>
        <v>1.5383699999999998E-2</v>
      </c>
      <c r="I55" s="147">
        <v>4.5999999999999999E-2</v>
      </c>
      <c r="J55" s="140">
        <f t="shared" si="14"/>
        <v>4.8504208329690317E-2</v>
      </c>
      <c r="K55" s="141">
        <f t="shared" si="17"/>
        <v>20616.7677905977</v>
      </c>
      <c r="L55" s="142">
        <f t="shared" si="15"/>
        <v>1.0183932042588859</v>
      </c>
      <c r="M55" s="139">
        <v>2.5000000000000001E-2</v>
      </c>
      <c r="N55" s="136">
        <v>4.5999999999999999E-2</v>
      </c>
      <c r="O55" s="137">
        <f t="shared" si="18"/>
        <v>5.2354560450833698E-2</v>
      </c>
      <c r="P55" s="138">
        <f t="shared" si="19"/>
        <v>19100.53281679449</v>
      </c>
      <c r="Q55" s="139">
        <f t="shared" si="23"/>
        <v>2.1287500000000001E-2</v>
      </c>
      <c r="R55" s="136">
        <v>4.5999999999999999E-2</v>
      </c>
      <c r="S55" s="140">
        <f t="shared" si="20"/>
        <v>5.0686858812220743E-2</v>
      </c>
      <c r="T55" s="141">
        <f t="shared" si="21"/>
        <v>19728.979531059384</v>
      </c>
      <c r="U55" s="142">
        <f t="shared" si="22"/>
        <v>1.0329020514921092</v>
      </c>
    </row>
    <row r="67" spans="3:21" ht="59.25">
      <c r="H67" s="331" t="s">
        <v>113</v>
      </c>
      <c r="I67" s="331"/>
      <c r="J67" s="331"/>
      <c r="K67" s="331"/>
      <c r="L67" s="331"/>
    </row>
    <row r="69" spans="3:21" ht="14.25">
      <c r="H69" s="146">
        <v>3.2299999999999998E-3</v>
      </c>
      <c r="I69" s="146">
        <f>75-30</f>
        <v>45</v>
      </c>
      <c r="J69" s="146">
        <f>+H69*I69*-1</f>
        <v>-0.14534999999999998</v>
      </c>
      <c r="K69" s="152">
        <f>1+J69</f>
        <v>0.85465000000000002</v>
      </c>
      <c r="L69" s="152" t="s">
        <v>15</v>
      </c>
    </row>
    <row r="70" spans="3:21" ht="15" thickBot="1">
      <c r="H70" s="146">
        <v>3.3E-3</v>
      </c>
      <c r="I70" s="146">
        <f>75-30</f>
        <v>45</v>
      </c>
      <c r="J70" s="146">
        <f>+H70*I70*-1</f>
        <v>-0.14849999999999999</v>
      </c>
      <c r="K70" s="152">
        <f>1+J70</f>
        <v>0.85150000000000003</v>
      </c>
      <c r="L70" s="152" t="s">
        <v>200</v>
      </c>
    </row>
    <row r="71" spans="3:21" ht="15" thickBot="1">
      <c r="C71" s="153"/>
      <c r="D71" s="332" t="s">
        <v>180</v>
      </c>
      <c r="E71" s="333"/>
      <c r="F71" s="333"/>
      <c r="G71" s="333"/>
      <c r="H71" s="333"/>
      <c r="I71" s="333"/>
      <c r="J71" s="333"/>
      <c r="K71" s="333"/>
      <c r="L71" s="334"/>
      <c r="M71" s="332" t="s">
        <v>181</v>
      </c>
      <c r="N71" s="333"/>
      <c r="O71" s="333"/>
      <c r="P71" s="333"/>
      <c r="Q71" s="333"/>
      <c r="R71" s="333"/>
      <c r="S71" s="333"/>
      <c r="T71" s="333"/>
      <c r="U71" s="334"/>
    </row>
    <row r="72" spans="3:21" ht="15" thickBot="1">
      <c r="C72" s="155"/>
      <c r="D72" s="341" t="s">
        <v>182</v>
      </c>
      <c r="E72" s="342"/>
      <c r="F72" s="342"/>
      <c r="G72" s="342"/>
      <c r="H72" s="342"/>
      <c r="I72" s="342"/>
      <c r="J72" s="342"/>
      <c r="K72" s="342"/>
      <c r="L72" s="343"/>
      <c r="M72" s="341" t="s">
        <v>182</v>
      </c>
      <c r="N72" s="342"/>
      <c r="O72" s="342"/>
      <c r="P72" s="342"/>
      <c r="Q72" s="342"/>
      <c r="R72" s="342"/>
      <c r="S72" s="342"/>
      <c r="T72" s="342"/>
      <c r="U72" s="343"/>
    </row>
    <row r="73" spans="3:21" ht="18.75" thickBot="1">
      <c r="C73" s="156" t="s">
        <v>183</v>
      </c>
      <c r="D73" s="131" t="s">
        <v>184</v>
      </c>
      <c r="E73" s="157" t="s">
        <v>185</v>
      </c>
      <c r="F73" s="156" t="s">
        <v>186</v>
      </c>
      <c r="G73" s="133" t="s">
        <v>187</v>
      </c>
      <c r="H73" s="131" t="s">
        <v>188</v>
      </c>
      <c r="I73" s="157" t="s">
        <v>185</v>
      </c>
      <c r="J73" s="156" t="s">
        <v>189</v>
      </c>
      <c r="K73" s="156" t="s">
        <v>190</v>
      </c>
      <c r="L73" s="156" t="s">
        <v>191</v>
      </c>
      <c r="M73" s="131" t="s">
        <v>184</v>
      </c>
      <c r="N73" s="157" t="s">
        <v>185</v>
      </c>
      <c r="O73" s="156" t="s">
        <v>186</v>
      </c>
      <c r="P73" s="133" t="s">
        <v>187</v>
      </c>
      <c r="Q73" s="131" t="s">
        <v>188</v>
      </c>
      <c r="R73" s="157" t="s">
        <v>185</v>
      </c>
      <c r="S73" s="156" t="s">
        <v>189</v>
      </c>
      <c r="T73" s="156" t="s">
        <v>190</v>
      </c>
      <c r="U73" s="156" t="s">
        <v>191</v>
      </c>
    </row>
    <row r="74" spans="3:21" ht="15" thickBot="1">
      <c r="C74" s="134">
        <v>14</v>
      </c>
      <c r="D74" s="135">
        <v>10.199999999999999</v>
      </c>
      <c r="E74" s="136">
        <v>0.19</v>
      </c>
      <c r="F74" s="137">
        <f t="shared" ref="F74:F94" si="24">SQRT((D74*D74) + (E74*E74))</f>
        <v>10.201769454364277</v>
      </c>
      <c r="G74" s="138">
        <f t="shared" ref="G74:G94" si="25">1/(F74/1000)</f>
        <v>98.022211193196881</v>
      </c>
      <c r="H74" s="139">
        <f>+D74*K$69</f>
        <v>8.7174300000000002</v>
      </c>
      <c r="I74" s="136">
        <v>0.19</v>
      </c>
      <c r="J74" s="140">
        <f t="shared" ref="J74:J94" si="26">SQRT((H74*H74) + (I74*I74))</f>
        <v>8.7195003185331679</v>
      </c>
      <c r="K74" s="141">
        <f>1/(J74/1000)</f>
        <v>114.68547089499096</v>
      </c>
      <c r="L74" s="142">
        <f>+K74/G74</f>
        <v>1.169994733835902</v>
      </c>
      <c r="M74" s="139">
        <v>0</v>
      </c>
      <c r="N74" s="134"/>
      <c r="O74" s="137"/>
      <c r="P74" s="138"/>
      <c r="Q74" s="143" t="s">
        <v>192</v>
      </c>
      <c r="R74" s="136"/>
      <c r="S74" s="140"/>
      <c r="T74" s="141"/>
      <c r="U74" s="142"/>
    </row>
    <row r="75" spans="3:21" ht="15" thickBot="1">
      <c r="C75" s="134">
        <v>12</v>
      </c>
      <c r="D75" s="135">
        <v>6.6</v>
      </c>
      <c r="E75" s="136">
        <v>0.17699999999999999</v>
      </c>
      <c r="F75" s="137">
        <f t="shared" si="24"/>
        <v>6.6023729824965205</v>
      </c>
      <c r="G75" s="138">
        <f t="shared" si="25"/>
        <v>151.46069491243364</v>
      </c>
      <c r="H75" s="139">
        <f t="shared" ref="H75:H94" si="27">+D75*K$69</f>
        <v>5.6406900000000002</v>
      </c>
      <c r="I75" s="136">
        <v>0.17699999999999999</v>
      </c>
      <c r="J75" s="140">
        <f t="shared" si="26"/>
        <v>5.6434663706006081</v>
      </c>
      <c r="K75" s="141">
        <f t="shared" ref="K75:K94" si="28">1/(J75/1000)</f>
        <v>177.19605900541134</v>
      </c>
      <c r="L75" s="142">
        <f t="shared" ref="L75:L94" si="29">+K75/G75</f>
        <v>1.1699144725821871</v>
      </c>
      <c r="M75" s="139">
        <v>10.5</v>
      </c>
      <c r="N75" s="136">
        <v>0.17699999999999999</v>
      </c>
      <c r="O75" s="137">
        <f t="shared" ref="O75:O94" si="30">SQRT((M75*M75) + (N75*N75))</f>
        <v>10.501491751175163</v>
      </c>
      <c r="P75" s="138">
        <f t="shared" ref="P75:P94" si="31">1/(O75/1000)</f>
        <v>95.224566537234651</v>
      </c>
      <c r="Q75" s="139">
        <f>+M75*K$70</f>
        <v>8.9407499999999995</v>
      </c>
      <c r="R75" s="136">
        <v>0.17699999999999999</v>
      </c>
      <c r="S75" s="140">
        <f t="shared" ref="S75:S94" si="32">SQRT((Q75*Q75) + (R75*R75))</f>
        <v>8.9425018625941579</v>
      </c>
      <c r="T75" s="141">
        <f t="shared" ref="T75:T94" si="33">1/(S75/1000)</f>
        <v>111.82552884701407</v>
      </c>
      <c r="U75" s="142">
        <f t="shared" ref="U75:U94" si="34">+T75/P75</f>
        <v>1.1743348687577184</v>
      </c>
    </row>
    <row r="76" spans="3:21" ht="15" thickBot="1">
      <c r="C76" s="134">
        <v>10</v>
      </c>
      <c r="D76" s="135">
        <v>3.9</v>
      </c>
      <c r="E76" s="136">
        <v>0.16400000000000001</v>
      </c>
      <c r="F76" s="137">
        <f t="shared" si="24"/>
        <v>3.9034466821003204</v>
      </c>
      <c r="G76" s="138">
        <f t="shared" si="25"/>
        <v>256.18385018184284</v>
      </c>
      <c r="H76" s="139">
        <f t="shared" si="27"/>
        <v>3.333135</v>
      </c>
      <c r="I76" s="136">
        <v>0.16400000000000001</v>
      </c>
      <c r="J76" s="140">
        <f t="shared" si="26"/>
        <v>3.3371672011190867</v>
      </c>
      <c r="K76" s="141">
        <f t="shared" si="28"/>
        <v>299.65534830399258</v>
      </c>
      <c r="L76" s="142">
        <f t="shared" si="29"/>
        <v>1.1696886751108357</v>
      </c>
      <c r="M76" s="139">
        <v>6.6</v>
      </c>
      <c r="N76" s="136">
        <v>0.16400000000000001</v>
      </c>
      <c r="O76" s="137">
        <f t="shared" si="30"/>
        <v>6.6020372613307776</v>
      </c>
      <c r="P76" s="138">
        <f t="shared" si="31"/>
        <v>151.46839686246017</v>
      </c>
      <c r="Q76" s="139">
        <f t="shared" ref="Q76:Q94" si="35">+M76*K$70</f>
        <v>5.6199000000000003</v>
      </c>
      <c r="R76" s="136">
        <v>0.16400000000000001</v>
      </c>
      <c r="S76" s="140">
        <f t="shared" si="32"/>
        <v>5.6222924159100796</v>
      </c>
      <c r="T76" s="141">
        <f t="shared" si="33"/>
        <v>177.86339201607146</v>
      </c>
      <c r="U76" s="142">
        <f t="shared" si="34"/>
        <v>1.1742607415167872</v>
      </c>
    </row>
    <row r="77" spans="3:21" ht="15" thickBot="1">
      <c r="C77" s="134">
        <v>8</v>
      </c>
      <c r="D77" s="135">
        <v>2.56</v>
      </c>
      <c r="E77" s="136">
        <v>0.17100000000000001</v>
      </c>
      <c r="F77" s="137">
        <f t="shared" si="24"/>
        <v>2.5657047764698104</v>
      </c>
      <c r="G77" s="138">
        <f t="shared" si="25"/>
        <v>389.75645568073276</v>
      </c>
      <c r="H77" s="139">
        <f t="shared" si="27"/>
        <v>2.1879040000000001</v>
      </c>
      <c r="I77" s="136">
        <v>0.17100000000000001</v>
      </c>
      <c r="J77" s="140">
        <f t="shared" si="26"/>
        <v>2.194576249123279</v>
      </c>
      <c r="K77" s="141">
        <f t="shared" si="28"/>
        <v>455.66883374386941</v>
      </c>
      <c r="L77" s="142">
        <f t="shared" si="29"/>
        <v>1.1691117032250737</v>
      </c>
      <c r="M77" s="139">
        <v>4.3</v>
      </c>
      <c r="N77" s="136">
        <v>0.17100000000000001</v>
      </c>
      <c r="O77" s="137">
        <f t="shared" si="30"/>
        <v>4.3033987730629839</v>
      </c>
      <c r="P77" s="138">
        <f t="shared" si="31"/>
        <v>232.37446788791098</v>
      </c>
      <c r="Q77" s="139">
        <f t="shared" si="35"/>
        <v>3.6614499999999999</v>
      </c>
      <c r="R77" s="136">
        <v>0.17100000000000001</v>
      </c>
      <c r="S77" s="140">
        <f t="shared" si="32"/>
        <v>3.6654409151560468</v>
      </c>
      <c r="T77" s="141">
        <f t="shared" si="33"/>
        <v>272.81847481571737</v>
      </c>
      <c r="U77" s="142">
        <f t="shared" si="34"/>
        <v>1.1740466897908728</v>
      </c>
    </row>
    <row r="78" spans="3:21" ht="15" thickBot="1">
      <c r="C78" s="134">
        <v>6</v>
      </c>
      <c r="D78" s="135">
        <v>1.61</v>
      </c>
      <c r="E78" s="136">
        <v>0.16700000000000001</v>
      </c>
      <c r="F78" s="137">
        <f t="shared" si="24"/>
        <v>1.6186380077089504</v>
      </c>
      <c r="G78" s="138">
        <f t="shared" si="25"/>
        <v>617.80336013202736</v>
      </c>
      <c r="H78" s="139">
        <f t="shared" si="27"/>
        <v>1.3759865000000002</v>
      </c>
      <c r="I78" s="136">
        <v>0.16700000000000001</v>
      </c>
      <c r="J78" s="140">
        <f t="shared" si="26"/>
        <v>1.3860836367918967</v>
      </c>
      <c r="K78" s="141">
        <f t="shared" si="28"/>
        <v>721.45718588418595</v>
      </c>
      <c r="L78" s="142">
        <f t="shared" si="29"/>
        <v>1.1677780220068847</v>
      </c>
      <c r="M78" s="139">
        <v>2.66</v>
      </c>
      <c r="N78" s="136">
        <v>0.16700000000000001</v>
      </c>
      <c r="O78" s="137">
        <f t="shared" si="30"/>
        <v>2.6652371376671158</v>
      </c>
      <c r="P78" s="138">
        <f t="shared" si="31"/>
        <v>375.20113533886172</v>
      </c>
      <c r="Q78" s="139">
        <f t="shared" si="35"/>
        <v>2.2649900000000001</v>
      </c>
      <c r="R78" s="136">
        <v>0.16700000000000001</v>
      </c>
      <c r="S78" s="140">
        <f t="shared" si="32"/>
        <v>2.2711381948485654</v>
      </c>
      <c r="T78" s="141">
        <f t="shared" si="33"/>
        <v>440.30786073177632</v>
      </c>
      <c r="U78" s="142">
        <f t="shared" si="34"/>
        <v>1.1735248624290906</v>
      </c>
    </row>
    <row r="79" spans="3:21" ht="15" thickBot="1">
      <c r="C79" s="134">
        <v>4</v>
      </c>
      <c r="D79" s="135">
        <v>1.02</v>
      </c>
      <c r="E79" s="136">
        <v>0.157</v>
      </c>
      <c r="F79" s="137">
        <f t="shared" si="24"/>
        <v>1.0320121123320209</v>
      </c>
      <c r="G79" s="138">
        <f t="shared" si="25"/>
        <v>968.98087537007325</v>
      </c>
      <c r="H79" s="139">
        <f t="shared" si="27"/>
        <v>0.87174300000000005</v>
      </c>
      <c r="I79" s="136">
        <v>0.157</v>
      </c>
      <c r="J79" s="140">
        <f t="shared" si="26"/>
        <v>0.88576794819467253</v>
      </c>
      <c r="K79" s="141">
        <f t="shared" si="28"/>
        <v>1128.9638579022298</v>
      </c>
      <c r="L79" s="142">
        <f t="shared" si="29"/>
        <v>1.1651043757401878</v>
      </c>
      <c r="M79" s="139">
        <v>1.67</v>
      </c>
      <c r="N79" s="136">
        <v>0.157</v>
      </c>
      <c r="O79" s="137">
        <f t="shared" si="30"/>
        <v>1.6773637053424042</v>
      </c>
      <c r="P79" s="138">
        <f t="shared" si="31"/>
        <v>596.17362460806771</v>
      </c>
      <c r="Q79" s="139">
        <f t="shared" si="35"/>
        <v>1.422005</v>
      </c>
      <c r="R79" s="136">
        <v>0.157</v>
      </c>
      <c r="S79" s="140">
        <f t="shared" si="32"/>
        <v>1.4306457353324755</v>
      </c>
      <c r="T79" s="141">
        <f t="shared" si="33"/>
        <v>698.98506338999744</v>
      </c>
      <c r="U79" s="142">
        <f t="shared" si="34"/>
        <v>1.1724521759068414</v>
      </c>
    </row>
    <row r="80" spans="3:21" ht="15" thickBot="1">
      <c r="C80" s="134">
        <v>3</v>
      </c>
      <c r="D80" s="135">
        <v>0.82</v>
      </c>
      <c r="E80" s="136">
        <v>0.154</v>
      </c>
      <c r="F80" s="137">
        <f t="shared" si="24"/>
        <v>0.83433566386676761</v>
      </c>
      <c r="G80" s="138">
        <f t="shared" si="25"/>
        <v>1198.5583780099405</v>
      </c>
      <c r="H80" s="139">
        <f t="shared" si="27"/>
        <v>0.70081300000000002</v>
      </c>
      <c r="I80" s="136">
        <v>0.154</v>
      </c>
      <c r="J80" s="140">
        <f t="shared" si="26"/>
        <v>0.71753387444008521</v>
      </c>
      <c r="K80" s="141">
        <f t="shared" si="28"/>
        <v>1393.662425736112</v>
      </c>
      <c r="L80" s="142">
        <f t="shared" si="29"/>
        <v>1.1627822651827089</v>
      </c>
      <c r="M80" s="139">
        <v>1.31</v>
      </c>
      <c r="N80" s="136">
        <v>0.154</v>
      </c>
      <c r="O80" s="137">
        <f t="shared" si="30"/>
        <v>1.3190208489633515</v>
      </c>
      <c r="P80" s="138">
        <f t="shared" si="31"/>
        <v>758.13813010304034</v>
      </c>
      <c r="Q80" s="139">
        <f t="shared" si="35"/>
        <v>1.1154650000000002</v>
      </c>
      <c r="R80" s="136">
        <v>0.154</v>
      </c>
      <c r="S80" s="140">
        <f t="shared" si="32"/>
        <v>1.1260453659711054</v>
      </c>
      <c r="T80" s="141">
        <f t="shared" si="33"/>
        <v>888.06368750303102</v>
      </c>
      <c r="U80" s="142">
        <f t="shared" si="34"/>
        <v>1.1713745190237723</v>
      </c>
    </row>
    <row r="81" spans="3:21" ht="15" thickBot="1">
      <c r="C81" s="134">
        <v>2</v>
      </c>
      <c r="D81" s="135">
        <v>0.62</v>
      </c>
      <c r="E81" s="136">
        <v>0.14799999999999999</v>
      </c>
      <c r="F81" s="137">
        <f t="shared" si="24"/>
        <v>0.63741979887669009</v>
      </c>
      <c r="G81" s="138">
        <f t="shared" si="25"/>
        <v>1568.8248180591133</v>
      </c>
      <c r="H81" s="139">
        <f t="shared" si="27"/>
        <v>0.52988299999999999</v>
      </c>
      <c r="I81" s="136">
        <v>0.14799999999999999</v>
      </c>
      <c r="J81" s="140">
        <f t="shared" si="26"/>
        <v>0.55016360629270999</v>
      </c>
      <c r="K81" s="141">
        <f t="shared" si="28"/>
        <v>1817.6411317690072</v>
      </c>
      <c r="L81" s="142">
        <f t="shared" si="29"/>
        <v>1.1586004446422</v>
      </c>
      <c r="M81" s="139">
        <v>1.05</v>
      </c>
      <c r="N81" s="136">
        <v>0.14799999999999999</v>
      </c>
      <c r="O81" s="137">
        <f t="shared" si="30"/>
        <v>1.0603791774643634</v>
      </c>
      <c r="P81" s="138">
        <f t="shared" si="31"/>
        <v>943.05888049523435</v>
      </c>
      <c r="Q81" s="139">
        <f t="shared" si="35"/>
        <v>0.89407500000000006</v>
      </c>
      <c r="R81" s="136">
        <v>0.14799999999999999</v>
      </c>
      <c r="S81" s="140">
        <f t="shared" si="32"/>
        <v>0.90624174789346368</v>
      </c>
      <c r="T81" s="141">
        <f t="shared" si="33"/>
        <v>1103.4583237027814</v>
      </c>
      <c r="U81" s="142">
        <f t="shared" si="34"/>
        <v>1.1700842296541607</v>
      </c>
    </row>
    <row r="82" spans="3:21" ht="15" thickBot="1">
      <c r="C82" s="134">
        <v>1</v>
      </c>
      <c r="D82" s="135">
        <v>0.49</v>
      </c>
      <c r="E82" s="136">
        <v>0.151</v>
      </c>
      <c r="F82" s="137">
        <f t="shared" si="24"/>
        <v>0.51273872488822214</v>
      </c>
      <c r="G82" s="138">
        <f t="shared" si="25"/>
        <v>1950.3110482205173</v>
      </c>
      <c r="H82" s="139">
        <f t="shared" si="27"/>
        <v>0.4187785</v>
      </c>
      <c r="I82" s="136">
        <v>0.151</v>
      </c>
      <c r="J82" s="140">
        <f t="shared" si="26"/>
        <v>0.44517011586836103</v>
      </c>
      <c r="K82" s="141">
        <f t="shared" si="28"/>
        <v>2246.3322769305228</v>
      </c>
      <c r="L82" s="142">
        <f t="shared" si="29"/>
        <v>1.151781547348613</v>
      </c>
      <c r="M82" s="139">
        <v>0.82</v>
      </c>
      <c r="N82" s="136">
        <v>0.151</v>
      </c>
      <c r="O82" s="137">
        <f t="shared" si="30"/>
        <v>0.83378714310068358</v>
      </c>
      <c r="P82" s="138">
        <f t="shared" si="31"/>
        <v>1199.3468696113553</v>
      </c>
      <c r="Q82" s="139">
        <f t="shared" si="35"/>
        <v>0.69823000000000002</v>
      </c>
      <c r="R82" s="136">
        <v>0.151</v>
      </c>
      <c r="S82" s="140">
        <f t="shared" si="32"/>
        <v>0.71437114506396471</v>
      </c>
      <c r="T82" s="141">
        <f t="shared" si="33"/>
        <v>1399.8325756990928</v>
      </c>
      <c r="U82" s="142">
        <f t="shared" si="34"/>
        <v>1.1671624041114179</v>
      </c>
    </row>
    <row r="83" spans="3:21" ht="15" thickBot="1">
      <c r="C83" s="134" t="s">
        <v>193</v>
      </c>
      <c r="D83" s="135">
        <v>0.39</v>
      </c>
      <c r="E83" s="136">
        <v>0.14399999999999999</v>
      </c>
      <c r="F83" s="137">
        <f t="shared" si="24"/>
        <v>0.41573549283168021</v>
      </c>
      <c r="G83" s="138">
        <f t="shared" si="25"/>
        <v>2405.3755747163791</v>
      </c>
      <c r="H83" s="139">
        <f t="shared" si="27"/>
        <v>0.33331350000000004</v>
      </c>
      <c r="I83" s="136">
        <v>0.14399999999999999</v>
      </c>
      <c r="J83" s="140">
        <f t="shared" si="26"/>
        <v>0.3630893681757289</v>
      </c>
      <c r="K83" s="141">
        <f t="shared" si="28"/>
        <v>2754.1428850541761</v>
      </c>
      <c r="L83" s="142">
        <f t="shared" si="29"/>
        <v>1.1449949496468637</v>
      </c>
      <c r="M83" s="139">
        <v>0.66</v>
      </c>
      <c r="N83" s="136">
        <v>0.14399999999999999</v>
      </c>
      <c r="O83" s="137">
        <f t="shared" si="30"/>
        <v>0.67552646136180339</v>
      </c>
      <c r="P83" s="138">
        <f t="shared" si="31"/>
        <v>1480.3269112272608</v>
      </c>
      <c r="Q83" s="139">
        <f t="shared" si="35"/>
        <v>0.5619900000000001</v>
      </c>
      <c r="R83" s="136">
        <v>0.14399999999999999</v>
      </c>
      <c r="S83" s="140">
        <f t="shared" si="32"/>
        <v>0.5801454646034907</v>
      </c>
      <c r="T83" s="141">
        <f t="shared" si="33"/>
        <v>1723.7056238704984</v>
      </c>
      <c r="U83" s="142">
        <f t="shared" si="34"/>
        <v>1.1644087605226774</v>
      </c>
    </row>
    <row r="84" spans="3:21" ht="15" thickBot="1">
      <c r="C84" s="134" t="s">
        <v>194</v>
      </c>
      <c r="D84" s="135">
        <v>0.33</v>
      </c>
      <c r="E84" s="136">
        <v>0.14099999999999999</v>
      </c>
      <c r="F84" s="137">
        <f t="shared" si="24"/>
        <v>0.35886069720714753</v>
      </c>
      <c r="G84" s="138">
        <f t="shared" si="25"/>
        <v>2786.5966035917372</v>
      </c>
      <c r="H84" s="139">
        <f t="shared" si="27"/>
        <v>0.28203450000000002</v>
      </c>
      <c r="I84" s="136">
        <v>0.14099999999999999</v>
      </c>
      <c r="J84" s="140">
        <f t="shared" si="26"/>
        <v>0.31531644294303779</v>
      </c>
      <c r="K84" s="141">
        <f t="shared" si="28"/>
        <v>3171.4172298355243</v>
      </c>
      <c r="L84" s="142">
        <f t="shared" si="29"/>
        <v>1.1380969982335365</v>
      </c>
      <c r="M84" s="139">
        <v>0.52</v>
      </c>
      <c r="N84" s="136">
        <v>0.14099999999999999</v>
      </c>
      <c r="O84" s="137">
        <f t="shared" si="30"/>
        <v>0.53877731949294227</v>
      </c>
      <c r="P84" s="138">
        <f t="shared" si="31"/>
        <v>1856.0543731520227</v>
      </c>
      <c r="Q84" s="139">
        <f t="shared" si="35"/>
        <v>0.44278000000000001</v>
      </c>
      <c r="R84" s="136">
        <v>0.14099999999999999</v>
      </c>
      <c r="S84" s="140">
        <f t="shared" si="32"/>
        <v>0.46468820557444751</v>
      </c>
      <c r="T84" s="141">
        <f t="shared" si="33"/>
        <v>2151.9805925863775</v>
      </c>
      <c r="U84" s="142">
        <f t="shared" si="34"/>
        <v>1.1594383352745219</v>
      </c>
    </row>
    <row r="85" spans="3:21" ht="15" thickBot="1">
      <c r="C85" s="134" t="s">
        <v>195</v>
      </c>
      <c r="D85" s="135">
        <v>0.253</v>
      </c>
      <c r="E85" s="136">
        <v>0.13800000000000001</v>
      </c>
      <c r="F85" s="137">
        <f t="shared" si="24"/>
        <v>0.28818917398125837</v>
      </c>
      <c r="G85" s="138">
        <f t="shared" si="25"/>
        <v>3469.9429759461832</v>
      </c>
      <c r="H85" s="139">
        <f t="shared" si="27"/>
        <v>0.21622645000000001</v>
      </c>
      <c r="I85" s="136">
        <v>0.13800000000000001</v>
      </c>
      <c r="J85" s="140">
        <f t="shared" si="26"/>
        <v>0.25651096990109895</v>
      </c>
      <c r="K85" s="141">
        <f t="shared" si="28"/>
        <v>3898.4687492529565</v>
      </c>
      <c r="L85" s="142">
        <f t="shared" si="29"/>
        <v>1.1234964886389589</v>
      </c>
      <c r="M85" s="139">
        <v>0.43</v>
      </c>
      <c r="N85" s="136">
        <v>0.13800000000000001</v>
      </c>
      <c r="O85" s="137">
        <f t="shared" si="30"/>
        <v>0.45160159432845226</v>
      </c>
      <c r="P85" s="138">
        <f t="shared" si="31"/>
        <v>2214.341163890344</v>
      </c>
      <c r="Q85" s="139">
        <f t="shared" si="35"/>
        <v>0.366145</v>
      </c>
      <c r="R85" s="136">
        <v>0.13800000000000001</v>
      </c>
      <c r="S85" s="140">
        <f t="shared" si="32"/>
        <v>0.39128782376276416</v>
      </c>
      <c r="T85" s="141">
        <f t="shared" si="33"/>
        <v>2555.6634765264125</v>
      </c>
      <c r="U85" s="142">
        <f t="shared" si="34"/>
        <v>1.154141700566323</v>
      </c>
    </row>
    <row r="86" spans="3:21" ht="15" thickBot="1">
      <c r="C86" s="134" t="s">
        <v>196</v>
      </c>
      <c r="D86" s="135">
        <v>0.20300000000000001</v>
      </c>
      <c r="E86" s="136">
        <v>0.13500000000000001</v>
      </c>
      <c r="F86" s="137">
        <f t="shared" si="24"/>
        <v>0.24379089400549808</v>
      </c>
      <c r="G86" s="138">
        <f t="shared" si="25"/>
        <v>4101.8759296950921</v>
      </c>
      <c r="H86" s="139">
        <f t="shared" si="27"/>
        <v>0.17349395000000001</v>
      </c>
      <c r="I86" s="136">
        <v>0.13500000000000001</v>
      </c>
      <c r="J86" s="140">
        <f t="shared" si="26"/>
        <v>0.21982982210474197</v>
      </c>
      <c r="K86" s="141">
        <f t="shared" si="28"/>
        <v>4548.9733395841604</v>
      </c>
      <c r="L86" s="142">
        <f t="shared" si="29"/>
        <v>1.1089982772643985</v>
      </c>
      <c r="M86" s="139">
        <v>0.33</v>
      </c>
      <c r="N86" s="136">
        <v>0.13500000000000001</v>
      </c>
      <c r="O86" s="137">
        <f t="shared" si="30"/>
        <v>0.35654592972014143</v>
      </c>
      <c r="P86" s="138">
        <f t="shared" si="31"/>
        <v>2804.6877460778082</v>
      </c>
      <c r="Q86" s="139">
        <f t="shared" si="35"/>
        <v>0.28099500000000005</v>
      </c>
      <c r="R86" s="136">
        <v>0.13500000000000001</v>
      </c>
      <c r="S86" s="140">
        <f t="shared" si="32"/>
        <v>0.31174218518673413</v>
      </c>
      <c r="T86" s="141">
        <f t="shared" si="33"/>
        <v>3207.7788875477286</v>
      </c>
      <c r="U86" s="142">
        <f t="shared" si="34"/>
        <v>1.1437205057973459</v>
      </c>
    </row>
    <row r="87" spans="3:21" ht="15" thickBot="1">
      <c r="C87" s="134">
        <v>250</v>
      </c>
      <c r="D87" s="135">
        <v>0.17100000000000001</v>
      </c>
      <c r="E87" s="136">
        <v>0.13500000000000001</v>
      </c>
      <c r="F87" s="137">
        <f t="shared" si="24"/>
        <v>0.21786693186438369</v>
      </c>
      <c r="G87" s="138">
        <f t="shared" si="25"/>
        <v>4589.9576931779311</v>
      </c>
      <c r="H87" s="139">
        <f t="shared" si="27"/>
        <v>0.14614515</v>
      </c>
      <c r="I87" s="136">
        <v>0.13500000000000001</v>
      </c>
      <c r="J87" s="140">
        <f t="shared" si="26"/>
        <v>0.19895578621523555</v>
      </c>
      <c r="K87" s="141">
        <f t="shared" si="28"/>
        <v>5026.2423577777927</v>
      </c>
      <c r="L87" s="142">
        <f t="shared" si="29"/>
        <v>1.0950520012958536</v>
      </c>
      <c r="M87" s="139">
        <v>0.27900000000000003</v>
      </c>
      <c r="N87" s="136">
        <v>0.13500000000000001</v>
      </c>
      <c r="O87" s="137">
        <f t="shared" si="30"/>
        <v>0.30994515643900622</v>
      </c>
      <c r="P87" s="138">
        <f t="shared" si="31"/>
        <v>3226.3772452168932</v>
      </c>
      <c r="Q87" s="139">
        <f t="shared" si="35"/>
        <v>0.23756850000000004</v>
      </c>
      <c r="R87" s="136">
        <v>0.13500000000000001</v>
      </c>
      <c r="S87" s="140">
        <f t="shared" si="32"/>
        <v>0.27324676062535497</v>
      </c>
      <c r="T87" s="141">
        <f t="shared" si="33"/>
        <v>3659.6957186661284</v>
      </c>
      <c r="U87" s="142">
        <f t="shared" si="34"/>
        <v>1.1343049620411345</v>
      </c>
    </row>
    <row r="88" spans="3:21" ht="15" thickBot="1">
      <c r="C88" s="134">
        <v>300</v>
      </c>
      <c r="D88" s="135">
        <v>0.14399999999999999</v>
      </c>
      <c r="E88" s="136">
        <v>0.13500000000000001</v>
      </c>
      <c r="F88" s="137">
        <f t="shared" si="24"/>
        <v>0.19738540979515176</v>
      </c>
      <c r="G88" s="138">
        <f t="shared" si="25"/>
        <v>5066.2305843061467</v>
      </c>
      <c r="H88" s="139">
        <f t="shared" si="27"/>
        <v>0.12306959999999999</v>
      </c>
      <c r="I88" s="136">
        <v>0.13500000000000001</v>
      </c>
      <c r="J88" s="140">
        <f t="shared" si="26"/>
        <v>0.18267765721116527</v>
      </c>
      <c r="K88" s="141">
        <f t="shared" si="28"/>
        <v>5474.123192000734</v>
      </c>
      <c r="L88" s="142">
        <f t="shared" si="29"/>
        <v>1.0805120495222091</v>
      </c>
      <c r="M88" s="139">
        <v>0.23300000000000001</v>
      </c>
      <c r="N88" s="136">
        <v>0.13500000000000001</v>
      </c>
      <c r="O88" s="137">
        <f t="shared" si="30"/>
        <v>0.26928423644914679</v>
      </c>
      <c r="P88" s="138">
        <f t="shared" si="31"/>
        <v>3713.5482313642442</v>
      </c>
      <c r="Q88" s="139">
        <f t="shared" si="35"/>
        <v>0.19839950000000001</v>
      </c>
      <c r="R88" s="136">
        <v>0.13500000000000001</v>
      </c>
      <c r="S88" s="140">
        <f t="shared" si="32"/>
        <v>0.23997366855605223</v>
      </c>
      <c r="T88" s="141">
        <f t="shared" si="33"/>
        <v>4167.1238599514236</v>
      </c>
      <c r="U88" s="142">
        <f t="shared" si="34"/>
        <v>1.1221407668160404</v>
      </c>
    </row>
    <row r="89" spans="3:21" ht="15" thickBot="1">
      <c r="C89" s="134">
        <v>350</v>
      </c>
      <c r="D89" s="135">
        <v>0.125</v>
      </c>
      <c r="E89" s="136">
        <v>0.13100000000000001</v>
      </c>
      <c r="F89" s="137">
        <f t="shared" si="24"/>
        <v>0.18106904760339357</v>
      </c>
      <c r="G89" s="138">
        <f t="shared" si="25"/>
        <v>5522.7550662902922</v>
      </c>
      <c r="H89" s="139">
        <f t="shared" si="27"/>
        <v>0.10683125</v>
      </c>
      <c r="I89" s="136">
        <v>0.13100000000000001</v>
      </c>
      <c r="J89" s="140">
        <f t="shared" si="26"/>
        <v>0.16903820862918095</v>
      </c>
      <c r="K89" s="141">
        <f t="shared" si="28"/>
        <v>5915.8222753868604</v>
      </c>
      <c r="L89" s="142">
        <f t="shared" si="29"/>
        <v>1.0711723051952395</v>
      </c>
      <c r="M89" s="139">
        <v>0.2</v>
      </c>
      <c r="N89" s="136">
        <v>0.13100000000000001</v>
      </c>
      <c r="O89" s="137">
        <f t="shared" si="30"/>
        <v>0.23908366736354036</v>
      </c>
      <c r="P89" s="138">
        <f t="shared" si="31"/>
        <v>4182.6361918710363</v>
      </c>
      <c r="Q89" s="139">
        <f t="shared" si="35"/>
        <v>0.17030000000000001</v>
      </c>
      <c r="R89" s="136">
        <v>0.13100000000000001</v>
      </c>
      <c r="S89" s="140">
        <f t="shared" si="32"/>
        <v>0.2148559750158231</v>
      </c>
      <c r="T89" s="141">
        <f t="shared" si="33"/>
        <v>4654.2806171732245</v>
      </c>
      <c r="U89" s="142">
        <f t="shared" si="34"/>
        <v>1.1127624788928165</v>
      </c>
    </row>
    <row r="90" spans="3:21" ht="15" thickBot="1">
      <c r="C90" s="134">
        <v>400</v>
      </c>
      <c r="D90" s="135">
        <v>0.108</v>
      </c>
      <c r="E90" s="136">
        <v>0.13100000000000001</v>
      </c>
      <c r="F90" s="137">
        <f t="shared" si="24"/>
        <v>0.16977926846349645</v>
      </c>
      <c r="G90" s="138">
        <f t="shared" si="25"/>
        <v>5890.0006405376043</v>
      </c>
      <c r="H90" s="139">
        <f t="shared" si="27"/>
        <v>9.2302200000000001E-2</v>
      </c>
      <c r="I90" s="136">
        <v>0.13100000000000001</v>
      </c>
      <c r="J90" s="140">
        <f t="shared" si="26"/>
        <v>0.16025197697638555</v>
      </c>
      <c r="K90" s="141">
        <f t="shared" si="28"/>
        <v>6240.1726260597607</v>
      </c>
      <c r="L90" s="142">
        <f t="shared" si="29"/>
        <v>1.0594519435383618</v>
      </c>
      <c r="M90" s="139">
        <v>0.17699999999999999</v>
      </c>
      <c r="N90" s="136">
        <v>0.13100000000000001</v>
      </c>
      <c r="O90" s="137">
        <f t="shared" si="30"/>
        <v>0.22020445045457188</v>
      </c>
      <c r="P90" s="138">
        <f t="shared" si="31"/>
        <v>4541.2342844828181</v>
      </c>
      <c r="Q90" s="139">
        <f t="shared" si="35"/>
        <v>0.1507155</v>
      </c>
      <c r="R90" s="136">
        <v>0.13100000000000001</v>
      </c>
      <c r="S90" s="140">
        <f t="shared" si="32"/>
        <v>0.19969016485608398</v>
      </c>
      <c r="T90" s="141">
        <f t="shared" si="33"/>
        <v>5007.7578969434808</v>
      </c>
      <c r="U90" s="142">
        <f t="shared" si="34"/>
        <v>1.102730575705982</v>
      </c>
    </row>
    <row r="91" spans="3:21" ht="15" thickBot="1">
      <c r="C91" s="134">
        <v>500</v>
      </c>
      <c r="D91" s="144">
        <v>8.8999999999999996E-2</v>
      </c>
      <c r="E91" s="136">
        <v>0.128</v>
      </c>
      <c r="F91" s="137">
        <f t="shared" si="24"/>
        <v>0.15590060936378664</v>
      </c>
      <c r="G91" s="138">
        <f t="shared" si="25"/>
        <v>6414.3431130955214</v>
      </c>
      <c r="H91" s="139">
        <f t="shared" si="27"/>
        <v>7.6063850000000002E-2</v>
      </c>
      <c r="I91" s="136">
        <v>0.128</v>
      </c>
      <c r="J91" s="140">
        <f t="shared" si="26"/>
        <v>0.14889496054877915</v>
      </c>
      <c r="K91" s="141">
        <f t="shared" si="28"/>
        <v>6716.1440274024053</v>
      </c>
      <c r="L91" s="142">
        <f t="shared" si="29"/>
        <v>1.0470509464469913</v>
      </c>
      <c r="M91" s="145">
        <v>0.14099999999999999</v>
      </c>
      <c r="N91" s="136">
        <v>0.128</v>
      </c>
      <c r="O91" s="137">
        <f t="shared" si="30"/>
        <v>0.19043371550227126</v>
      </c>
      <c r="P91" s="138">
        <f t="shared" si="31"/>
        <v>5251.1709775891723</v>
      </c>
      <c r="Q91" s="139">
        <f t="shared" si="35"/>
        <v>0.12006149999999999</v>
      </c>
      <c r="R91" s="136">
        <v>0.128</v>
      </c>
      <c r="S91" s="140">
        <f t="shared" si="32"/>
        <v>0.17549576571031564</v>
      </c>
      <c r="T91" s="141">
        <f t="shared" si="33"/>
        <v>5698.1431771445868</v>
      </c>
      <c r="U91" s="142">
        <f t="shared" si="34"/>
        <v>1.0851185766875602</v>
      </c>
    </row>
    <row r="92" spans="3:21" ht="15" thickBot="1">
      <c r="C92" s="134">
        <v>600</v>
      </c>
      <c r="D92" s="135">
        <v>7.4999999999999997E-2</v>
      </c>
      <c r="E92" s="136">
        <v>0.128</v>
      </c>
      <c r="F92" s="137">
        <f t="shared" si="24"/>
        <v>0.14835430563350699</v>
      </c>
      <c r="G92" s="138">
        <f t="shared" si="25"/>
        <v>6740.6200024311402</v>
      </c>
      <c r="H92" s="139">
        <f t="shared" si="27"/>
        <v>6.4098749999999996E-2</v>
      </c>
      <c r="I92" s="136">
        <v>0.128</v>
      </c>
      <c r="J92" s="140">
        <f t="shared" si="26"/>
        <v>0.1431525401505768</v>
      </c>
      <c r="K92" s="141">
        <f t="shared" si="28"/>
        <v>6985.5554008901099</v>
      </c>
      <c r="L92" s="142">
        <f t="shared" si="29"/>
        <v>1.0363372209634467</v>
      </c>
      <c r="M92" s="139">
        <v>0.11799999999999999</v>
      </c>
      <c r="N92" s="136">
        <v>0.128</v>
      </c>
      <c r="O92" s="137">
        <f t="shared" si="30"/>
        <v>0.17409192973828511</v>
      </c>
      <c r="P92" s="138">
        <f t="shared" si="31"/>
        <v>5744.0916503327544</v>
      </c>
      <c r="Q92" s="139">
        <f t="shared" si="35"/>
        <v>0.100477</v>
      </c>
      <c r="R92" s="136">
        <v>0.128</v>
      </c>
      <c r="S92" s="140">
        <f t="shared" si="32"/>
        <v>0.16272562038290098</v>
      </c>
      <c r="T92" s="141">
        <f t="shared" si="33"/>
        <v>6145.3137966040831</v>
      </c>
      <c r="U92" s="142">
        <f t="shared" si="34"/>
        <v>1.0698495376981121</v>
      </c>
    </row>
    <row r="93" spans="3:21" ht="15" thickBot="1">
      <c r="C93" s="134">
        <v>750</v>
      </c>
      <c r="D93" s="135">
        <v>6.2E-2</v>
      </c>
      <c r="E93" s="136">
        <v>0.125</v>
      </c>
      <c r="F93" s="137">
        <f t="shared" si="24"/>
        <v>0.13953135848260059</v>
      </c>
      <c r="G93" s="138">
        <f t="shared" si="25"/>
        <v>7166.847731398665</v>
      </c>
      <c r="H93" s="139">
        <f t="shared" si="27"/>
        <v>5.2988300000000002E-2</v>
      </c>
      <c r="I93" s="136">
        <v>0.125</v>
      </c>
      <c r="J93" s="140">
        <f t="shared" si="26"/>
        <v>0.13576730069088802</v>
      </c>
      <c r="K93" s="141">
        <f t="shared" si="28"/>
        <v>7365.543801130566</v>
      </c>
      <c r="L93" s="142">
        <f t="shared" si="29"/>
        <v>1.0277243325348457</v>
      </c>
      <c r="M93" s="139">
        <v>9.5000000000000001E-2</v>
      </c>
      <c r="N93" s="136">
        <v>0.125</v>
      </c>
      <c r="O93" s="137">
        <f t="shared" si="30"/>
        <v>0.15700318468107582</v>
      </c>
      <c r="P93" s="138">
        <f t="shared" si="31"/>
        <v>6369.29755298482</v>
      </c>
      <c r="Q93" s="139">
        <f t="shared" si="35"/>
        <v>8.0892500000000006E-2</v>
      </c>
      <c r="R93" s="136">
        <v>0.125</v>
      </c>
      <c r="S93" s="140">
        <f t="shared" si="32"/>
        <v>0.14889122390607851</v>
      </c>
      <c r="T93" s="141">
        <f t="shared" si="33"/>
        <v>6716.3125788448497</v>
      </c>
      <c r="U93" s="142">
        <f t="shared" si="34"/>
        <v>1.0544824641922106</v>
      </c>
    </row>
    <row r="94" spans="3:21" ht="15" thickBot="1">
      <c r="C94" s="134">
        <v>1000</v>
      </c>
      <c r="D94" s="135">
        <v>4.9000000000000002E-2</v>
      </c>
      <c r="E94" s="136">
        <v>0.121</v>
      </c>
      <c r="F94" s="137">
        <f t="shared" si="24"/>
        <v>0.13054501139453778</v>
      </c>
      <c r="G94" s="138">
        <f t="shared" si="25"/>
        <v>7660.1931342880998</v>
      </c>
      <c r="H94" s="139">
        <f t="shared" si="27"/>
        <v>4.1877850000000001E-2</v>
      </c>
      <c r="I94" s="136">
        <v>0.121</v>
      </c>
      <c r="J94" s="140">
        <f t="shared" si="26"/>
        <v>0.12804200217359341</v>
      </c>
      <c r="K94" s="141">
        <f t="shared" si="28"/>
        <v>7809.9372317237467</v>
      </c>
      <c r="L94" s="142">
        <f t="shared" si="29"/>
        <v>1.0195483449060012</v>
      </c>
      <c r="M94" s="139">
        <v>7.4999999999999997E-2</v>
      </c>
      <c r="N94" s="136">
        <v>0.121</v>
      </c>
      <c r="O94" s="137">
        <f t="shared" si="30"/>
        <v>0.14235870187663274</v>
      </c>
      <c r="P94" s="138">
        <f t="shared" si="31"/>
        <v>7024.5091225023561</v>
      </c>
      <c r="Q94" s="139">
        <f t="shared" si="35"/>
        <v>6.3862500000000003E-2</v>
      </c>
      <c r="R94" s="136">
        <v>0.121</v>
      </c>
      <c r="S94" s="140">
        <f t="shared" si="32"/>
        <v>0.13681892744152763</v>
      </c>
      <c r="T94" s="141">
        <f t="shared" si="33"/>
        <v>7308.9302679073435</v>
      </c>
      <c r="U94" s="142">
        <f t="shared" si="34"/>
        <v>1.040489825046119</v>
      </c>
    </row>
    <row r="95" spans="3:21" ht="15" thickBot="1">
      <c r="C95" s="146"/>
      <c r="D95" s="146"/>
      <c r="E95" s="146"/>
      <c r="F95" s="146"/>
      <c r="G95" s="146"/>
      <c r="H95" s="146"/>
      <c r="I95" s="146"/>
      <c r="J95" s="146"/>
      <c r="K95" s="146"/>
      <c r="L95" s="146"/>
      <c r="M95" s="146"/>
      <c r="N95" s="146"/>
      <c r="O95" s="146"/>
      <c r="P95" s="146"/>
      <c r="Q95" s="146"/>
      <c r="R95" s="146"/>
      <c r="S95" s="146"/>
      <c r="T95" s="146"/>
      <c r="U95" s="146"/>
    </row>
    <row r="96" spans="3:21" ht="15" thickBot="1">
      <c r="C96" s="153"/>
      <c r="D96" s="332" t="s">
        <v>197</v>
      </c>
      <c r="E96" s="333"/>
      <c r="F96" s="333"/>
      <c r="G96" s="333"/>
      <c r="H96" s="333"/>
      <c r="I96" s="333"/>
      <c r="J96" s="333"/>
      <c r="K96" s="333"/>
      <c r="L96" s="334"/>
      <c r="M96" s="332" t="s">
        <v>198</v>
      </c>
      <c r="N96" s="333"/>
      <c r="O96" s="333"/>
      <c r="P96" s="333"/>
      <c r="Q96" s="333"/>
      <c r="R96" s="333"/>
      <c r="S96" s="333"/>
      <c r="T96" s="333"/>
      <c r="U96" s="334"/>
    </row>
    <row r="97" spans="3:21" ht="15" thickBot="1">
      <c r="C97" s="155"/>
      <c r="D97" s="341" t="s">
        <v>182</v>
      </c>
      <c r="E97" s="342"/>
      <c r="F97" s="342"/>
      <c r="G97" s="342"/>
      <c r="H97" s="342"/>
      <c r="I97" s="342"/>
      <c r="J97" s="342"/>
      <c r="K97" s="342"/>
      <c r="L97" s="343"/>
      <c r="M97" s="341" t="s">
        <v>182</v>
      </c>
      <c r="N97" s="342"/>
      <c r="O97" s="342"/>
      <c r="P97" s="342"/>
      <c r="Q97" s="342"/>
      <c r="R97" s="342"/>
      <c r="S97" s="342"/>
      <c r="T97" s="342"/>
      <c r="U97" s="343"/>
    </row>
    <row r="98" spans="3:21" ht="18.75" thickBot="1">
      <c r="C98" s="156" t="s">
        <v>183</v>
      </c>
      <c r="D98" s="131" t="s">
        <v>184</v>
      </c>
      <c r="E98" s="157" t="s">
        <v>185</v>
      </c>
      <c r="F98" s="156" t="s">
        <v>186</v>
      </c>
      <c r="G98" s="133" t="s">
        <v>187</v>
      </c>
      <c r="H98" s="131" t="s">
        <v>188</v>
      </c>
      <c r="I98" s="157" t="s">
        <v>185</v>
      </c>
      <c r="J98" s="156" t="s">
        <v>189</v>
      </c>
      <c r="K98" s="156" t="s">
        <v>190</v>
      </c>
      <c r="L98" s="156" t="s">
        <v>191</v>
      </c>
      <c r="M98" s="131" t="s">
        <v>184</v>
      </c>
      <c r="N98" s="157" t="s">
        <v>185</v>
      </c>
      <c r="O98" s="156" t="s">
        <v>186</v>
      </c>
      <c r="P98" s="133" t="s">
        <v>187</v>
      </c>
      <c r="Q98" s="131" t="s">
        <v>188</v>
      </c>
      <c r="R98" s="157" t="s">
        <v>185</v>
      </c>
      <c r="S98" s="156" t="s">
        <v>189</v>
      </c>
      <c r="T98" s="156" t="s">
        <v>190</v>
      </c>
      <c r="U98" s="156" t="s">
        <v>191</v>
      </c>
    </row>
    <row r="99" spans="3:21" ht="15" thickBot="1">
      <c r="C99" s="134">
        <v>14</v>
      </c>
      <c r="D99" s="135">
        <v>10.199999999999999</v>
      </c>
      <c r="E99" s="136">
        <v>0.24</v>
      </c>
      <c r="F99" s="137">
        <f t="shared" ref="F99:F119" si="36">SQRT((D99*D99) + (E99*E99))</f>
        <v>10.202823138719987</v>
      </c>
      <c r="G99" s="138">
        <f t="shared" ref="G99:G119" si="37">1/(F99/1000)</f>
        <v>98.012088066583573</v>
      </c>
      <c r="H99" s="139">
        <f>+D99*K$69</f>
        <v>8.7174300000000002</v>
      </c>
      <c r="I99" s="136">
        <v>0.24</v>
      </c>
      <c r="J99" s="140">
        <f t="shared" ref="J99:J119" si="38">SQRT((H99*H99) + (I99*I99))</f>
        <v>8.720733100198629</v>
      </c>
      <c r="K99" s="141">
        <f>1/(J99/1000)</f>
        <v>114.66925870913575</v>
      </c>
      <c r="L99" s="142">
        <f t="shared" ref="L99:L119" si="39">+K99/G99</f>
        <v>1.1699501660574385</v>
      </c>
      <c r="M99" s="139">
        <v>0</v>
      </c>
      <c r="N99" s="134"/>
      <c r="O99" s="137"/>
      <c r="P99" s="138"/>
      <c r="Q99" s="143" t="s">
        <v>199</v>
      </c>
      <c r="R99" s="134"/>
      <c r="S99" s="140"/>
      <c r="T99" s="148"/>
      <c r="U99" s="142"/>
    </row>
    <row r="100" spans="3:21" ht="15" thickBot="1">
      <c r="C100" s="134">
        <v>12</v>
      </c>
      <c r="D100" s="135">
        <v>6.6</v>
      </c>
      <c r="E100" s="136">
        <v>0.223</v>
      </c>
      <c r="F100" s="137">
        <f t="shared" si="36"/>
        <v>6.6037662738773539</v>
      </c>
      <c r="G100" s="138">
        <f t="shared" si="37"/>
        <v>151.42873907511225</v>
      </c>
      <c r="H100" s="139">
        <f t="shared" ref="H100:H119" si="40">+D100*K$69</f>
        <v>5.6406900000000002</v>
      </c>
      <c r="I100" s="136">
        <v>0.223</v>
      </c>
      <c r="J100" s="140">
        <f t="shared" si="38"/>
        <v>5.6450963389564937</v>
      </c>
      <c r="K100" s="141">
        <f t="shared" ref="K100:K119" si="41">1/(J100/1000)</f>
        <v>177.1448953136647</v>
      </c>
      <c r="L100" s="142">
        <f t="shared" si="39"/>
        <v>1.1698234852619134</v>
      </c>
      <c r="M100" s="139">
        <v>10.5</v>
      </c>
      <c r="N100" s="136">
        <v>0.223</v>
      </c>
      <c r="O100" s="137">
        <f t="shared" ref="O100:O119" si="42">SQRT((M100*M100) + (N100*N100))</f>
        <v>10.502367780648324</v>
      </c>
      <c r="P100" s="138">
        <f t="shared" ref="P100:P119" si="43">1/(O100/1000)</f>
        <v>95.216623611544179</v>
      </c>
      <c r="Q100" s="139">
        <f>+M100*K$70</f>
        <v>8.9407499999999995</v>
      </c>
      <c r="R100" s="136">
        <v>0.223</v>
      </c>
      <c r="S100" s="140">
        <f t="shared" ref="S100:S119" si="44">SQRT((Q100*Q100) + (R100*R100))</f>
        <v>8.9435305982872322</v>
      </c>
      <c r="T100" s="141">
        <f t="shared" ref="T100:T119" si="45">1/(S100/1000)</f>
        <v>111.81266603946199</v>
      </c>
      <c r="U100" s="142">
        <f t="shared" ref="U100:U119" si="46">+T100/P100</f>
        <v>1.1742977412812365</v>
      </c>
    </row>
    <row r="101" spans="3:21" ht="15" thickBot="1">
      <c r="C101" s="134">
        <v>10</v>
      </c>
      <c r="D101" s="135">
        <v>3.9</v>
      </c>
      <c r="E101" s="136">
        <v>0.20699999999999999</v>
      </c>
      <c r="F101" s="137">
        <f t="shared" si="36"/>
        <v>3.9054895979889639</v>
      </c>
      <c r="G101" s="138">
        <f t="shared" si="37"/>
        <v>256.04984340885852</v>
      </c>
      <c r="H101" s="139">
        <f t="shared" si="40"/>
        <v>3.333135</v>
      </c>
      <c r="I101" s="136">
        <v>0.20699999999999999</v>
      </c>
      <c r="J101" s="140">
        <f t="shared" si="38"/>
        <v>3.3395565466428323</v>
      </c>
      <c r="K101" s="141">
        <f t="shared" si="41"/>
        <v>299.44095451992678</v>
      </c>
      <c r="L101" s="142">
        <f t="shared" si="39"/>
        <v>1.1694635330894605</v>
      </c>
      <c r="M101" s="135">
        <v>6.6</v>
      </c>
      <c r="N101" s="136">
        <v>0.20699999999999999</v>
      </c>
      <c r="O101" s="137">
        <f t="shared" si="42"/>
        <v>6.6032453384680467</v>
      </c>
      <c r="P101" s="138">
        <f t="shared" si="43"/>
        <v>151.44068541181903</v>
      </c>
      <c r="Q101" s="139">
        <f t="shared" ref="Q101:Q119" si="47">+M101*K$70</f>
        <v>5.6199000000000003</v>
      </c>
      <c r="R101" s="136">
        <v>0.20699999999999999</v>
      </c>
      <c r="S101" s="140">
        <f t="shared" si="44"/>
        <v>5.6237109643010639</v>
      </c>
      <c r="T101" s="141">
        <f t="shared" si="45"/>
        <v>177.81852700964401</v>
      </c>
      <c r="U101" s="142">
        <f t="shared" si="46"/>
        <v>1.1741793595696863</v>
      </c>
    </row>
    <row r="102" spans="3:21" ht="15" thickBot="1">
      <c r="C102" s="134">
        <v>8</v>
      </c>
      <c r="D102" s="135">
        <v>2.56</v>
      </c>
      <c r="E102" s="136">
        <v>0.21299999999999999</v>
      </c>
      <c r="F102" s="137">
        <f t="shared" si="36"/>
        <v>2.5688458497932491</v>
      </c>
      <c r="G102" s="138">
        <f t="shared" si="37"/>
        <v>389.2798783860402</v>
      </c>
      <c r="H102" s="139">
        <f t="shared" si="40"/>
        <v>2.1879040000000001</v>
      </c>
      <c r="I102" s="136">
        <v>0.21299999999999999</v>
      </c>
      <c r="J102" s="140">
        <f t="shared" si="38"/>
        <v>2.1982476915070333</v>
      </c>
      <c r="K102" s="141">
        <f t="shared" si="41"/>
        <v>454.90779035661751</v>
      </c>
      <c r="L102" s="142">
        <f t="shared" si="39"/>
        <v>1.1685879892962143</v>
      </c>
      <c r="M102" s="135">
        <v>4.3</v>
      </c>
      <c r="N102" s="136">
        <v>0.21299999999999999</v>
      </c>
      <c r="O102" s="137">
        <f t="shared" si="42"/>
        <v>4.3052722329720332</v>
      </c>
      <c r="P102" s="138">
        <f t="shared" si="43"/>
        <v>232.27334902110846</v>
      </c>
      <c r="Q102" s="139">
        <f t="shared" si="47"/>
        <v>3.6614499999999999</v>
      </c>
      <c r="R102" s="136">
        <v>0.21299999999999999</v>
      </c>
      <c r="S102" s="140">
        <f t="shared" si="44"/>
        <v>3.6676402635073138</v>
      </c>
      <c r="T102" s="141">
        <f t="shared" si="45"/>
        <v>272.65487565667462</v>
      </c>
      <c r="U102" s="142">
        <f t="shared" si="46"/>
        <v>1.1738534653491235</v>
      </c>
    </row>
    <row r="103" spans="3:21" ht="15" thickBot="1">
      <c r="C103" s="134">
        <v>6</v>
      </c>
      <c r="D103" s="135">
        <v>1.61</v>
      </c>
      <c r="E103" s="136">
        <v>0.21</v>
      </c>
      <c r="F103" s="137">
        <f t="shared" si="36"/>
        <v>1.6236378906640483</v>
      </c>
      <c r="G103" s="138">
        <f t="shared" si="37"/>
        <v>615.90087651318129</v>
      </c>
      <c r="H103" s="139">
        <f t="shared" si="40"/>
        <v>1.3759865000000002</v>
      </c>
      <c r="I103" s="136">
        <v>0.21</v>
      </c>
      <c r="J103" s="140">
        <f t="shared" si="38"/>
        <v>1.3919191241527831</v>
      </c>
      <c r="K103" s="141">
        <f t="shared" si="41"/>
        <v>718.43254586265437</v>
      </c>
      <c r="L103" s="142">
        <f t="shared" si="39"/>
        <v>1.1664743033488421</v>
      </c>
      <c r="M103" s="135">
        <v>2.66</v>
      </c>
      <c r="N103" s="136">
        <v>0.21</v>
      </c>
      <c r="O103" s="137">
        <f t="shared" si="42"/>
        <v>2.6682765973564289</v>
      </c>
      <c r="P103" s="138">
        <f t="shared" si="43"/>
        <v>374.77374009528887</v>
      </c>
      <c r="Q103" s="139">
        <f t="shared" si="47"/>
        <v>2.2649900000000001</v>
      </c>
      <c r="R103" s="136">
        <v>0.21</v>
      </c>
      <c r="S103" s="140">
        <f t="shared" si="44"/>
        <v>2.2747043104764191</v>
      </c>
      <c r="T103" s="141">
        <f t="shared" si="45"/>
        <v>439.617578159228</v>
      </c>
      <c r="U103" s="142">
        <f t="shared" si="46"/>
        <v>1.1730212955887789</v>
      </c>
    </row>
    <row r="104" spans="3:21" ht="15" thickBot="1">
      <c r="C104" s="134">
        <v>4</v>
      </c>
      <c r="D104" s="135">
        <v>1.02</v>
      </c>
      <c r="E104" s="136">
        <v>0.19700000000000001</v>
      </c>
      <c r="F104" s="137">
        <f t="shared" si="36"/>
        <v>1.0388498447802743</v>
      </c>
      <c r="G104" s="138">
        <f t="shared" si="37"/>
        <v>962.6030220098927</v>
      </c>
      <c r="H104" s="139">
        <f t="shared" si="40"/>
        <v>0.87174300000000005</v>
      </c>
      <c r="I104" s="136">
        <v>0.19700000000000001</v>
      </c>
      <c r="J104" s="140">
        <f t="shared" si="38"/>
        <v>0.89372526989506129</v>
      </c>
      <c r="K104" s="141">
        <f t="shared" si="41"/>
        <v>1118.9120792314814</v>
      </c>
      <c r="L104" s="142">
        <f t="shared" si="39"/>
        <v>1.1623816398323983</v>
      </c>
      <c r="M104" s="135">
        <v>1.67</v>
      </c>
      <c r="N104" s="136">
        <v>0.19700000000000001</v>
      </c>
      <c r="O104" s="137">
        <f t="shared" si="42"/>
        <v>1.6815793171896471</v>
      </c>
      <c r="P104" s="138">
        <f t="shared" si="43"/>
        <v>594.67905544369921</v>
      </c>
      <c r="Q104" s="139">
        <f t="shared" si="47"/>
        <v>1.422005</v>
      </c>
      <c r="R104" s="136">
        <v>0.19700000000000001</v>
      </c>
      <c r="S104" s="140">
        <f t="shared" si="44"/>
        <v>1.4355860197233044</v>
      </c>
      <c r="T104" s="141">
        <f t="shared" si="45"/>
        <v>696.57964500987589</v>
      </c>
      <c r="U104" s="142">
        <f t="shared" si="46"/>
        <v>1.1713539238239139</v>
      </c>
    </row>
    <row r="105" spans="3:21" ht="15" thickBot="1">
      <c r="C105" s="134">
        <v>3</v>
      </c>
      <c r="D105" s="135">
        <v>0.82</v>
      </c>
      <c r="E105" s="136">
        <v>0.19400000000000001</v>
      </c>
      <c r="F105" s="137">
        <f t="shared" si="36"/>
        <v>0.84263633911670333</v>
      </c>
      <c r="G105" s="138">
        <f t="shared" si="37"/>
        <v>1186.7515719156543</v>
      </c>
      <c r="H105" s="139">
        <f t="shared" si="40"/>
        <v>0.70081300000000002</v>
      </c>
      <c r="I105" s="136">
        <v>0.19400000000000001</v>
      </c>
      <c r="J105" s="140">
        <f t="shared" si="38"/>
        <v>0.7271690731659316</v>
      </c>
      <c r="K105" s="141">
        <f t="shared" si="41"/>
        <v>1375.195998980297</v>
      </c>
      <c r="L105" s="142">
        <f t="shared" si="39"/>
        <v>1.1587901221486951</v>
      </c>
      <c r="M105" s="135">
        <v>1.31</v>
      </c>
      <c r="N105" s="136">
        <v>0.19400000000000001</v>
      </c>
      <c r="O105" s="137">
        <f t="shared" si="42"/>
        <v>1.3242869779621034</v>
      </c>
      <c r="P105" s="138">
        <f t="shared" si="43"/>
        <v>755.12333553174653</v>
      </c>
      <c r="Q105" s="139">
        <f t="shared" si="47"/>
        <v>1.1154650000000002</v>
      </c>
      <c r="R105" s="136">
        <v>0.19400000000000001</v>
      </c>
      <c r="S105" s="140">
        <f t="shared" si="44"/>
        <v>1.1322094180075524</v>
      </c>
      <c r="T105" s="141">
        <f t="shared" si="45"/>
        <v>883.2288303693739</v>
      </c>
      <c r="U105" s="142">
        <f t="shared" si="46"/>
        <v>1.1696484386188615</v>
      </c>
    </row>
    <row r="106" spans="3:21" ht="15" thickBot="1">
      <c r="C106" s="134">
        <v>2</v>
      </c>
      <c r="D106" s="135">
        <v>0.66</v>
      </c>
      <c r="E106" s="136">
        <v>0.187</v>
      </c>
      <c r="F106" s="137">
        <f t="shared" si="36"/>
        <v>0.68598032041743007</v>
      </c>
      <c r="G106" s="138">
        <f t="shared" si="37"/>
        <v>1457.7677671445208</v>
      </c>
      <c r="H106" s="139">
        <f t="shared" si="40"/>
        <v>0.56406900000000004</v>
      </c>
      <c r="I106" s="136">
        <v>0.187</v>
      </c>
      <c r="J106" s="140">
        <f t="shared" si="38"/>
        <v>0.5942582239742249</v>
      </c>
      <c r="K106" s="141">
        <f t="shared" si="41"/>
        <v>1682.7701488290613</v>
      </c>
      <c r="L106" s="142">
        <f t="shared" si="39"/>
        <v>1.1543472058826461</v>
      </c>
      <c r="M106" s="135">
        <v>1.05</v>
      </c>
      <c r="N106" s="136">
        <v>0.187</v>
      </c>
      <c r="O106" s="137">
        <f t="shared" si="42"/>
        <v>1.0665219172619005</v>
      </c>
      <c r="P106" s="138">
        <f t="shared" si="43"/>
        <v>937.62723842311334</v>
      </c>
      <c r="Q106" s="139">
        <f t="shared" si="47"/>
        <v>0.89407500000000006</v>
      </c>
      <c r="R106" s="136">
        <v>0.187</v>
      </c>
      <c r="S106" s="140">
        <f t="shared" si="44"/>
        <v>0.91342164722815722</v>
      </c>
      <c r="T106" s="141">
        <f t="shared" si="45"/>
        <v>1094.7846517920514</v>
      </c>
      <c r="U106" s="142">
        <f t="shared" si="46"/>
        <v>1.1676118258181609</v>
      </c>
    </row>
    <row r="107" spans="3:21" ht="15" thickBot="1">
      <c r="C107" s="134">
        <v>1</v>
      </c>
      <c r="D107" s="135">
        <v>0.52</v>
      </c>
      <c r="E107" s="149">
        <v>0.187</v>
      </c>
      <c r="F107" s="137">
        <f t="shared" si="36"/>
        <v>0.55260202677876602</v>
      </c>
      <c r="G107" s="138">
        <f t="shared" si="37"/>
        <v>1809.6205796225743</v>
      </c>
      <c r="H107" s="139">
        <f t="shared" si="40"/>
        <v>0.44441800000000004</v>
      </c>
      <c r="I107" s="149">
        <v>0.187</v>
      </c>
      <c r="J107" s="140">
        <f t="shared" si="38"/>
        <v>0.48215802256521673</v>
      </c>
      <c r="K107" s="141">
        <f t="shared" si="41"/>
        <v>2074.0088377659213</v>
      </c>
      <c r="L107" s="142">
        <f t="shared" si="39"/>
        <v>1.1461014873065212</v>
      </c>
      <c r="M107" s="139">
        <v>0.82</v>
      </c>
      <c r="N107" s="149">
        <v>0.187</v>
      </c>
      <c r="O107" s="137">
        <f t="shared" si="42"/>
        <v>0.84105231704097927</v>
      </c>
      <c r="P107" s="138">
        <f t="shared" si="43"/>
        <v>1188.9866774497884</v>
      </c>
      <c r="Q107" s="139">
        <f t="shared" si="47"/>
        <v>0.69823000000000002</v>
      </c>
      <c r="R107" s="149">
        <v>0.187</v>
      </c>
      <c r="S107" s="140">
        <f t="shared" si="44"/>
        <v>0.72283755637072433</v>
      </c>
      <c r="T107" s="141">
        <f t="shared" si="45"/>
        <v>1383.4366949897749</v>
      </c>
      <c r="U107" s="142">
        <f t="shared" si="46"/>
        <v>1.1635426378006646</v>
      </c>
    </row>
    <row r="108" spans="3:21" ht="15" thickBot="1">
      <c r="C108" s="134" t="s">
        <v>193</v>
      </c>
      <c r="D108" s="135">
        <v>0.39</v>
      </c>
      <c r="E108" s="136">
        <v>0.18</v>
      </c>
      <c r="F108" s="137">
        <f t="shared" si="36"/>
        <v>0.42953463189829061</v>
      </c>
      <c r="G108" s="138">
        <f t="shared" si="37"/>
        <v>2328.100985898594</v>
      </c>
      <c r="H108" s="139">
        <f t="shared" si="40"/>
        <v>0.33331350000000004</v>
      </c>
      <c r="I108" s="136">
        <v>0.18</v>
      </c>
      <c r="J108" s="140">
        <f t="shared" si="38"/>
        <v>0.37881115253150877</v>
      </c>
      <c r="K108" s="141">
        <f t="shared" si="41"/>
        <v>2639.8378012823209</v>
      </c>
      <c r="L108" s="142">
        <f t="shared" si="39"/>
        <v>1.1339017582449946</v>
      </c>
      <c r="M108" s="139">
        <v>0.66</v>
      </c>
      <c r="N108" s="136">
        <v>0.18</v>
      </c>
      <c r="O108" s="137">
        <f t="shared" si="42"/>
        <v>0.68410525505948283</v>
      </c>
      <c r="P108" s="138">
        <f t="shared" si="43"/>
        <v>1461.7633655117154</v>
      </c>
      <c r="Q108" s="139">
        <f t="shared" si="47"/>
        <v>0.5619900000000001</v>
      </c>
      <c r="R108" s="136">
        <v>0.18</v>
      </c>
      <c r="S108" s="140">
        <f t="shared" si="44"/>
        <v>0.59011249783409947</v>
      </c>
      <c r="T108" s="141">
        <f t="shared" si="45"/>
        <v>1694.5921390757151</v>
      </c>
      <c r="U108" s="142">
        <f t="shared" si="46"/>
        <v>1.1592793875241865</v>
      </c>
    </row>
    <row r="109" spans="3:21" ht="15" thickBot="1">
      <c r="C109" s="134" t="s">
        <v>194</v>
      </c>
      <c r="D109" s="144">
        <v>0.33</v>
      </c>
      <c r="E109" s="136">
        <v>0.17699999999999999</v>
      </c>
      <c r="F109" s="137">
        <f t="shared" si="36"/>
        <v>0.37447162776370652</v>
      </c>
      <c r="G109" s="138">
        <f t="shared" si="37"/>
        <v>2670.4292818440308</v>
      </c>
      <c r="H109" s="139">
        <f t="shared" si="40"/>
        <v>0.28203450000000002</v>
      </c>
      <c r="I109" s="136">
        <v>0.17699999999999999</v>
      </c>
      <c r="J109" s="140">
        <f t="shared" si="38"/>
        <v>0.33297516302308494</v>
      </c>
      <c r="K109" s="141">
        <f t="shared" si="41"/>
        <v>3003.2270002392661</v>
      </c>
      <c r="L109" s="142">
        <f t="shared" si="39"/>
        <v>1.1246233033235113</v>
      </c>
      <c r="M109" s="139">
        <v>0.52</v>
      </c>
      <c r="N109" s="136">
        <v>0.17699999999999999</v>
      </c>
      <c r="O109" s="137">
        <f t="shared" si="42"/>
        <v>0.54929864372670723</v>
      </c>
      <c r="P109" s="138">
        <f t="shared" si="43"/>
        <v>1820.5033116694358</v>
      </c>
      <c r="Q109" s="139">
        <f t="shared" si="47"/>
        <v>0.44278000000000001</v>
      </c>
      <c r="R109" s="136">
        <v>0.17699999999999999</v>
      </c>
      <c r="S109" s="140">
        <f t="shared" si="44"/>
        <v>0.47684707024369982</v>
      </c>
      <c r="T109" s="141">
        <f t="shared" si="45"/>
        <v>2097.1084072906961</v>
      </c>
      <c r="U109" s="142">
        <f t="shared" si="46"/>
        <v>1.1519388038726543</v>
      </c>
    </row>
    <row r="110" spans="3:21" ht="15" thickBot="1">
      <c r="C110" s="134" t="s">
        <v>195</v>
      </c>
      <c r="D110" s="135">
        <v>0.25900000000000001</v>
      </c>
      <c r="E110" s="136">
        <v>0.17399999999999999</v>
      </c>
      <c r="F110" s="137">
        <f t="shared" si="36"/>
        <v>0.31202083263782243</v>
      </c>
      <c r="G110" s="138">
        <f t="shared" si="37"/>
        <v>3204.9142089199795</v>
      </c>
      <c r="H110" s="139">
        <f t="shared" si="40"/>
        <v>0.22135435000000001</v>
      </c>
      <c r="I110" s="136">
        <v>0.17399999999999999</v>
      </c>
      <c r="J110" s="140">
        <f t="shared" si="38"/>
        <v>0.28155594162425784</v>
      </c>
      <c r="K110" s="141">
        <f t="shared" si="41"/>
        <v>3551.6920517860012</v>
      </c>
      <c r="L110" s="142">
        <f t="shared" si="39"/>
        <v>1.1082019112714041</v>
      </c>
      <c r="M110" s="139">
        <v>0.43</v>
      </c>
      <c r="N110" s="136">
        <v>0.17399999999999999</v>
      </c>
      <c r="O110" s="137">
        <f t="shared" si="42"/>
        <v>0.46387067163165208</v>
      </c>
      <c r="P110" s="138">
        <f t="shared" si="43"/>
        <v>2155.7732815539471</v>
      </c>
      <c r="Q110" s="139">
        <f t="shared" si="47"/>
        <v>0.366145</v>
      </c>
      <c r="R110" s="136">
        <v>0.17399999999999999</v>
      </c>
      <c r="S110" s="140">
        <f t="shared" si="44"/>
        <v>0.4053864341896507</v>
      </c>
      <c r="T110" s="141">
        <f t="shared" si="45"/>
        <v>2466.7821013768139</v>
      </c>
      <c r="U110" s="142">
        <f t="shared" si="46"/>
        <v>1.1442678701346007</v>
      </c>
    </row>
    <row r="111" spans="3:21" ht="15" thickBot="1">
      <c r="C111" s="134" t="s">
        <v>196</v>
      </c>
      <c r="D111" s="135">
        <v>0.20699999999999999</v>
      </c>
      <c r="E111" s="136">
        <v>0.16700000000000001</v>
      </c>
      <c r="F111" s="137">
        <f t="shared" si="36"/>
        <v>0.26596616326141942</v>
      </c>
      <c r="G111" s="138">
        <f t="shared" si="37"/>
        <v>3759.8767743139383</v>
      </c>
      <c r="H111" s="139">
        <f t="shared" si="40"/>
        <v>0.17691255</v>
      </c>
      <c r="I111" s="136">
        <v>0.16700000000000001</v>
      </c>
      <c r="J111" s="140">
        <f t="shared" si="38"/>
        <v>0.24328388838454243</v>
      </c>
      <c r="K111" s="141">
        <f t="shared" si="41"/>
        <v>4110.4242728123754</v>
      </c>
      <c r="L111" s="142">
        <f t="shared" si="39"/>
        <v>1.0932337732165176</v>
      </c>
      <c r="M111" s="139">
        <v>0.33</v>
      </c>
      <c r="N111" s="136">
        <v>0.16700000000000001</v>
      </c>
      <c r="O111" s="137">
        <f t="shared" si="42"/>
        <v>0.36984996958226185</v>
      </c>
      <c r="P111" s="138">
        <f t="shared" si="43"/>
        <v>2703.7990597362491</v>
      </c>
      <c r="Q111" s="139">
        <f t="shared" si="47"/>
        <v>0.28099500000000005</v>
      </c>
      <c r="R111" s="136">
        <v>0.16700000000000001</v>
      </c>
      <c r="S111" s="140">
        <f t="shared" si="44"/>
        <v>0.32687488435944423</v>
      </c>
      <c r="T111" s="141">
        <f t="shared" si="45"/>
        <v>3059.2745048602796</v>
      </c>
      <c r="U111" s="142">
        <f t="shared" si="46"/>
        <v>1.1314725825663636</v>
      </c>
    </row>
    <row r="112" spans="3:21" ht="15" thickBot="1">
      <c r="C112" s="134">
        <v>250</v>
      </c>
      <c r="D112" s="135">
        <v>0.17699999999999999</v>
      </c>
      <c r="E112" s="136">
        <v>0.17100000000000001</v>
      </c>
      <c r="F112" s="137">
        <f t="shared" si="36"/>
        <v>0.24610973162392422</v>
      </c>
      <c r="G112" s="138">
        <f t="shared" si="37"/>
        <v>4063.2281925693283</v>
      </c>
      <c r="H112" s="139">
        <f t="shared" si="40"/>
        <v>0.15127304999999999</v>
      </c>
      <c r="I112" s="136">
        <v>0.17100000000000001</v>
      </c>
      <c r="J112" s="140">
        <f t="shared" si="38"/>
        <v>0.22830798421496892</v>
      </c>
      <c r="K112" s="141">
        <f t="shared" si="41"/>
        <v>4380.0483081591474</v>
      </c>
      <c r="L112" s="142">
        <f t="shared" si="39"/>
        <v>1.0779725136208711</v>
      </c>
      <c r="M112" s="139">
        <v>0.28199999999999997</v>
      </c>
      <c r="N112" s="136">
        <v>0.17100000000000001</v>
      </c>
      <c r="O112" s="137">
        <f t="shared" si="42"/>
        <v>0.32979539111394507</v>
      </c>
      <c r="P112" s="138">
        <f t="shared" si="43"/>
        <v>3032.1830654525361</v>
      </c>
      <c r="Q112" s="139">
        <f t="shared" si="47"/>
        <v>0.24012299999999998</v>
      </c>
      <c r="R112" s="136">
        <v>0.17100000000000001</v>
      </c>
      <c r="S112" s="140">
        <f t="shared" si="44"/>
        <v>0.2947881529658205</v>
      </c>
      <c r="T112" s="141">
        <f t="shared" si="45"/>
        <v>3392.2665817440297</v>
      </c>
      <c r="U112" s="142">
        <f t="shared" si="46"/>
        <v>1.1187538840890379</v>
      </c>
    </row>
    <row r="113" spans="3:21" ht="15" thickBot="1">
      <c r="C113" s="134">
        <v>300</v>
      </c>
      <c r="D113" s="135">
        <v>0.14799999999999999</v>
      </c>
      <c r="E113" s="136">
        <v>0.16700000000000001</v>
      </c>
      <c r="F113" s="137">
        <f t="shared" si="36"/>
        <v>0.22314345161801186</v>
      </c>
      <c r="G113" s="138">
        <f t="shared" si="37"/>
        <v>4481.4221199367757</v>
      </c>
      <c r="H113" s="139">
        <f t="shared" si="40"/>
        <v>0.1264882</v>
      </c>
      <c r="I113" s="136">
        <v>0.16700000000000001</v>
      </c>
      <c r="J113" s="140">
        <f t="shared" si="38"/>
        <v>0.20949526185391401</v>
      </c>
      <c r="K113" s="141">
        <f t="shared" si="41"/>
        <v>4773.3776465900391</v>
      </c>
      <c r="L113" s="142">
        <f t="shared" si="39"/>
        <v>1.0651479639363637</v>
      </c>
      <c r="M113" s="139">
        <v>0.23599999999999999</v>
      </c>
      <c r="N113" s="136">
        <v>0.16700000000000001</v>
      </c>
      <c r="O113" s="137">
        <f t="shared" si="42"/>
        <v>0.28911070543997502</v>
      </c>
      <c r="P113" s="138">
        <f t="shared" si="43"/>
        <v>3458.8826397077828</v>
      </c>
      <c r="Q113" s="139">
        <f t="shared" si="47"/>
        <v>0.20095399999999999</v>
      </c>
      <c r="R113" s="136">
        <v>0.16700000000000001</v>
      </c>
      <c r="S113" s="140">
        <f t="shared" si="44"/>
        <v>0.26128817446643082</v>
      </c>
      <c r="T113" s="141">
        <f t="shared" si="45"/>
        <v>3827.1919578529405</v>
      </c>
      <c r="U113" s="142">
        <f t="shared" si="46"/>
        <v>1.1064821667890627</v>
      </c>
    </row>
    <row r="114" spans="3:21" ht="15" thickBot="1">
      <c r="C114" s="134">
        <v>350</v>
      </c>
      <c r="D114" s="135">
        <v>0.128</v>
      </c>
      <c r="E114" s="136">
        <v>0.16400000000000001</v>
      </c>
      <c r="F114" s="137">
        <f t="shared" si="36"/>
        <v>0.2080384579831335</v>
      </c>
      <c r="G114" s="138">
        <f t="shared" si="37"/>
        <v>4806.8035578358013</v>
      </c>
      <c r="H114" s="139">
        <f t="shared" si="40"/>
        <v>0.1093952</v>
      </c>
      <c r="I114" s="136">
        <v>0.16400000000000001</v>
      </c>
      <c r="J114" s="140">
        <f t="shared" si="38"/>
        <v>0.19713779389817673</v>
      </c>
      <c r="K114" s="141">
        <f t="shared" si="41"/>
        <v>5072.5940481839225</v>
      </c>
      <c r="L114" s="142">
        <f t="shared" si="39"/>
        <v>1.0552946437586042</v>
      </c>
      <c r="M114" s="139">
        <v>0.20699999999999999</v>
      </c>
      <c r="N114" s="136">
        <v>0.16400000000000001</v>
      </c>
      <c r="O114" s="137">
        <f t="shared" si="42"/>
        <v>0.26409278672466613</v>
      </c>
      <c r="P114" s="138">
        <f t="shared" si="43"/>
        <v>3786.5479493105768</v>
      </c>
      <c r="Q114" s="139">
        <f t="shared" si="47"/>
        <v>0.17626049999999999</v>
      </c>
      <c r="R114" s="136">
        <v>0.16400000000000001</v>
      </c>
      <c r="S114" s="140">
        <f t="shared" si="44"/>
        <v>0.24075664863145524</v>
      </c>
      <c r="T114" s="141">
        <f t="shared" si="45"/>
        <v>4153.5716902704398</v>
      </c>
      <c r="U114" s="142">
        <f t="shared" si="46"/>
        <v>1.0969283225442021</v>
      </c>
    </row>
    <row r="115" spans="3:21" ht="15" thickBot="1">
      <c r="C115" s="134">
        <v>400</v>
      </c>
      <c r="D115" s="135">
        <v>0.115</v>
      </c>
      <c r="E115" s="136">
        <v>0.161</v>
      </c>
      <c r="F115" s="137">
        <f t="shared" si="36"/>
        <v>0.19785348114198043</v>
      </c>
      <c r="G115" s="138">
        <f t="shared" si="37"/>
        <v>5054.2451627747514</v>
      </c>
      <c r="H115" s="139">
        <f t="shared" si="40"/>
        <v>9.8284750000000004E-2</v>
      </c>
      <c r="I115" s="136">
        <v>0.161</v>
      </c>
      <c r="J115" s="140">
        <f t="shared" si="38"/>
        <v>0.18862897996480418</v>
      </c>
      <c r="K115" s="141">
        <f t="shared" si="41"/>
        <v>5301.4123290418447</v>
      </c>
      <c r="L115" s="142">
        <f t="shared" si="39"/>
        <v>1.048902884269943</v>
      </c>
      <c r="M115" s="139">
        <v>0.18</v>
      </c>
      <c r="N115" s="136">
        <v>0.161</v>
      </c>
      <c r="O115" s="137">
        <f t="shared" si="42"/>
        <v>0.24149741199441455</v>
      </c>
      <c r="P115" s="138">
        <f t="shared" si="43"/>
        <v>4140.8311241990805</v>
      </c>
      <c r="Q115" s="139">
        <f t="shared" si="47"/>
        <v>0.15326999999999999</v>
      </c>
      <c r="R115" s="136">
        <v>0.161</v>
      </c>
      <c r="S115" s="140">
        <f t="shared" si="44"/>
        <v>0.22228965990346919</v>
      </c>
      <c r="T115" s="141">
        <f t="shared" si="45"/>
        <v>4498.6348012510207</v>
      </c>
      <c r="U115" s="142">
        <f t="shared" si="46"/>
        <v>1.0864086620101288</v>
      </c>
    </row>
    <row r="116" spans="3:21" ht="15" thickBot="1">
      <c r="C116" s="134">
        <v>500</v>
      </c>
      <c r="D116" s="135">
        <v>9.5000000000000001E-2</v>
      </c>
      <c r="E116" s="136">
        <v>0.157</v>
      </c>
      <c r="F116" s="137">
        <f t="shared" si="36"/>
        <v>0.18350476833041696</v>
      </c>
      <c r="G116" s="138">
        <f t="shared" si="37"/>
        <v>5449.4496742417587</v>
      </c>
      <c r="H116" s="139">
        <f t="shared" si="40"/>
        <v>8.1191750000000007E-2</v>
      </c>
      <c r="I116" s="136">
        <v>0.157</v>
      </c>
      <c r="J116" s="140">
        <f t="shared" si="38"/>
        <v>0.17675152126095692</v>
      </c>
      <c r="K116" s="141">
        <f t="shared" si="41"/>
        <v>5657.6599333682361</v>
      </c>
      <c r="L116" s="142">
        <f t="shared" si="39"/>
        <v>1.0382075753650204</v>
      </c>
      <c r="M116" s="145">
        <v>0.14799999999999999</v>
      </c>
      <c r="N116" s="136">
        <v>0.157</v>
      </c>
      <c r="O116" s="137">
        <f t="shared" si="42"/>
        <v>0.21576144233852348</v>
      </c>
      <c r="P116" s="138">
        <f t="shared" si="43"/>
        <v>4634.7484015750551</v>
      </c>
      <c r="Q116" s="139">
        <f t="shared" si="47"/>
        <v>0.126022</v>
      </c>
      <c r="R116" s="136">
        <v>0.157</v>
      </c>
      <c r="S116" s="140">
        <f t="shared" si="44"/>
        <v>0.20132199205253259</v>
      </c>
      <c r="T116" s="141">
        <f t="shared" si="45"/>
        <v>4967.1672220442852</v>
      </c>
      <c r="U116" s="142">
        <f t="shared" si="46"/>
        <v>1.0717231641649116</v>
      </c>
    </row>
    <row r="117" spans="3:21" ht="15" thickBot="1">
      <c r="C117" s="134">
        <v>600</v>
      </c>
      <c r="D117" s="144">
        <v>8.2000000000000003E-2</v>
      </c>
      <c r="E117" s="136">
        <v>0.157</v>
      </c>
      <c r="F117" s="137">
        <f t="shared" si="36"/>
        <v>0.17712425017484196</v>
      </c>
      <c r="G117" s="138">
        <f t="shared" si="37"/>
        <v>5645.7543166047853</v>
      </c>
      <c r="H117" s="139">
        <f t="shared" si="40"/>
        <v>7.0081299999999999E-2</v>
      </c>
      <c r="I117" s="136">
        <v>0.157</v>
      </c>
      <c r="J117" s="140">
        <f t="shared" si="38"/>
        <v>0.17193134853682152</v>
      </c>
      <c r="K117" s="141">
        <f t="shared" si="41"/>
        <v>5816.2749755076575</v>
      </c>
      <c r="L117" s="142">
        <f t="shared" si="39"/>
        <v>1.0302033438474911</v>
      </c>
      <c r="M117" s="139">
        <v>0.125</v>
      </c>
      <c r="N117" s="136">
        <v>0.157</v>
      </c>
      <c r="O117" s="137">
        <f t="shared" si="42"/>
        <v>0.20068383093812017</v>
      </c>
      <c r="P117" s="138">
        <f t="shared" si="43"/>
        <v>4982.9624804618406</v>
      </c>
      <c r="Q117" s="139">
        <f t="shared" si="47"/>
        <v>0.1064375</v>
      </c>
      <c r="R117" s="136">
        <v>0.157</v>
      </c>
      <c r="S117" s="140">
        <f t="shared" si="44"/>
        <v>0.18967852120429979</v>
      </c>
      <c r="T117" s="141">
        <f t="shared" si="45"/>
        <v>5272.0782176644852</v>
      </c>
      <c r="U117" s="142">
        <f t="shared" si="46"/>
        <v>1.0580208537263256</v>
      </c>
    </row>
    <row r="118" spans="3:21" ht="15" thickBot="1">
      <c r="C118" s="134">
        <v>750</v>
      </c>
      <c r="D118" s="135">
        <v>6.9000000000000006E-2</v>
      </c>
      <c r="E118" s="136">
        <v>0.157</v>
      </c>
      <c r="F118" s="137">
        <f t="shared" si="36"/>
        <v>0.17149344010777789</v>
      </c>
      <c r="G118" s="138">
        <f t="shared" si="37"/>
        <v>5831.1268312743241</v>
      </c>
      <c r="H118" s="139">
        <f t="shared" si="40"/>
        <v>5.8970850000000005E-2</v>
      </c>
      <c r="I118" s="136">
        <v>0.157</v>
      </c>
      <c r="J118" s="140">
        <f t="shared" si="38"/>
        <v>0.16770975269710017</v>
      </c>
      <c r="K118" s="141">
        <f t="shared" si="41"/>
        <v>5962.6824553614097</v>
      </c>
      <c r="L118" s="142">
        <f t="shared" si="39"/>
        <v>1.02256092654022</v>
      </c>
      <c r="M118" s="139">
        <v>0.10199999999999999</v>
      </c>
      <c r="N118" s="136">
        <v>0.157</v>
      </c>
      <c r="O118" s="137">
        <f t="shared" si="42"/>
        <v>0.18722446421341415</v>
      </c>
      <c r="P118" s="138">
        <f t="shared" si="43"/>
        <v>5341.1823299978369</v>
      </c>
      <c r="Q118" s="139">
        <f t="shared" si="47"/>
        <v>8.6853E-2</v>
      </c>
      <c r="R118" s="136">
        <v>0.157</v>
      </c>
      <c r="S118" s="140">
        <f t="shared" si="44"/>
        <v>0.17942252815351811</v>
      </c>
      <c r="T118" s="141">
        <f t="shared" si="45"/>
        <v>5573.4361247232937</v>
      </c>
      <c r="U118" s="142">
        <f t="shared" si="46"/>
        <v>1.043483592279006</v>
      </c>
    </row>
    <row r="119" spans="3:21" ht="15" thickBot="1">
      <c r="C119" s="134">
        <v>1000</v>
      </c>
      <c r="D119" s="135">
        <v>5.8999999999999997E-2</v>
      </c>
      <c r="E119" s="136">
        <v>0.151</v>
      </c>
      <c r="F119" s="137">
        <f t="shared" si="36"/>
        <v>0.16211724152600179</v>
      </c>
      <c r="G119" s="138">
        <f t="shared" si="37"/>
        <v>6168.3753719656725</v>
      </c>
      <c r="H119" s="139">
        <f t="shared" si="40"/>
        <v>5.042435E-2</v>
      </c>
      <c r="I119" s="136">
        <v>0.151</v>
      </c>
      <c r="J119" s="140">
        <f t="shared" si="38"/>
        <v>0.15919678097537807</v>
      </c>
      <c r="K119" s="141">
        <f t="shared" si="41"/>
        <v>6281.5340478188655</v>
      </c>
      <c r="L119" s="142">
        <f t="shared" si="39"/>
        <v>1.0183449723840547</v>
      </c>
      <c r="M119" s="139">
        <v>8.2000000000000003E-2</v>
      </c>
      <c r="N119" s="136">
        <v>0.151</v>
      </c>
      <c r="O119" s="137">
        <f t="shared" si="42"/>
        <v>0.17182840277439582</v>
      </c>
      <c r="P119" s="138">
        <f t="shared" si="43"/>
        <v>5819.7596197932544</v>
      </c>
      <c r="Q119" s="139">
        <f t="shared" si="47"/>
        <v>6.982300000000001E-2</v>
      </c>
      <c r="R119" s="136">
        <v>0.151</v>
      </c>
      <c r="S119" s="140">
        <f t="shared" si="44"/>
        <v>0.16636180850483684</v>
      </c>
      <c r="T119" s="141">
        <f t="shared" si="45"/>
        <v>6010.9950053285565</v>
      </c>
      <c r="U119" s="142">
        <f t="shared" si="46"/>
        <v>1.0328596708504767</v>
      </c>
    </row>
  </sheetData>
  <sheetProtection algorithmName="SHA-512" hashValue="d9yC5t4dZh5XMhf3tKVM6dLjnuAFOT78q/YPrmV7h1IY4oSdF/QwPqxhYe39AUIsm0YDCxmetrVisFQzK7iBoQ==" saltValue="9HBTA6KnMn+PL8K46CgG0g==" spinCount="100000" sheet="1" objects="1" scenarios="1" selectLockedCells="1"/>
  <mergeCells count="18">
    <mergeCell ref="D72:L72"/>
    <mergeCell ref="M72:U72"/>
    <mergeCell ref="D96:L96"/>
    <mergeCell ref="M96:U96"/>
    <mergeCell ref="D97:L97"/>
    <mergeCell ref="M97:U97"/>
    <mergeCell ref="D33:L33"/>
    <mergeCell ref="M33:U33"/>
    <mergeCell ref="H3:L3"/>
    <mergeCell ref="H67:L67"/>
    <mergeCell ref="D71:L71"/>
    <mergeCell ref="M71:U71"/>
    <mergeCell ref="D7:L7"/>
    <mergeCell ref="M7:U7"/>
    <mergeCell ref="D8:L8"/>
    <mergeCell ref="M8:U8"/>
    <mergeCell ref="D32:L32"/>
    <mergeCell ref="M32:U3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showRuler="0" workbookViewId="0">
      <selection sqref="A1:IV65536"/>
    </sheetView>
  </sheetViews>
  <sheetFormatPr defaultRowHeight="12.75"/>
  <sheetData/>
  <customSheetViews>
    <customSheetView guid="{DB365FA4-8D94-49CF-B333-8C6A4783853B}" state="hidden" showRuler="0">
      <selection sqref="A1:IV65536"/>
      <pageMargins left="0.75" right="0.75" top="1" bottom="1" header="0.5" footer="0.5"/>
      <headerFooter alignWithMargins="0"/>
    </customSheetView>
    <customSheetView guid="{9711F06F-B5CC-4033-8AB3-0E7E6F635E5F}" state="hidden" showRuler="0">
      <selection sqref="A1:IV65536"/>
      <pageMargins left="0.75" right="0.75" top="1" bottom="1" header="0.5" footer="0.5"/>
      <headerFooter alignWithMargins="0"/>
    </customSheetView>
    <customSheetView guid="{2FCC383C-10EF-41F0-858D-505CF08BB01B}" state="hidden" showRuler="0">
      <selection sqref="A1:IV65536"/>
      <pageMargins left="0.75" right="0.75" top="1" bottom="1" header="0.5" footer="0.5"/>
      <headerFooter alignWithMargins="0"/>
    </customSheetView>
    <customSheetView guid="{82DFEA4E-A735-471A-8B59-472DB22D5406}" state="hidden" showRuler="0">
      <selection sqref="A1:IV65536"/>
      <pageMargins left="0.75" right="0.75" top="1" bottom="1" header="0.5" footer="0.5"/>
      <headerFooter alignWithMargins="0"/>
    </customSheetView>
    <customSheetView guid="{53803D8B-0A9B-4271-B690-B5F9FC4E36BE}" state="hidden" showRuler="0">
      <selection sqref="A1:IV65536"/>
      <pageMargins left="0.75" right="0.75" top="1" bottom="1" header="0.5" footer="0.5"/>
      <headerFooter alignWithMargins="0"/>
    </customSheetView>
  </customSheetViews>
  <phoneticPr fontId="17"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showRuler="0" workbookViewId="0">
      <selection activeCell="B3" sqref="B3"/>
    </sheetView>
  </sheetViews>
  <sheetFormatPr defaultRowHeight="12.75"/>
  <sheetData/>
  <customSheetViews>
    <customSheetView guid="{DB365FA4-8D94-49CF-B333-8C6A4783853B}" state="hidden" showRuler="0">
      <selection activeCell="B3" sqref="B3"/>
      <pageMargins left="0.75" right="0.75" top="1" bottom="1" header="0.5" footer="0.5"/>
      <headerFooter alignWithMargins="0"/>
    </customSheetView>
    <customSheetView guid="{9711F06F-B5CC-4033-8AB3-0E7E6F635E5F}" state="hidden" showRuler="0">
      <selection activeCell="B3" sqref="B3"/>
      <pageMargins left="0.75" right="0.75" top="1" bottom="1" header="0.5" footer="0.5"/>
      <headerFooter alignWithMargins="0"/>
    </customSheetView>
    <customSheetView guid="{2FCC383C-10EF-41F0-858D-505CF08BB01B}" state="hidden" showRuler="0">
      <selection activeCell="B3" sqref="B3"/>
      <pageMargins left="0.75" right="0.75" top="1" bottom="1" header="0.5" footer="0.5"/>
      <headerFooter alignWithMargins="0"/>
    </customSheetView>
    <customSheetView guid="{82DFEA4E-A735-471A-8B59-472DB22D5406}" state="hidden" showRuler="0">
      <selection activeCell="B3" sqref="B3"/>
      <pageMargins left="0.75" right="0.75" top="1" bottom="1" header="0.5" footer="0.5"/>
      <headerFooter alignWithMargins="0"/>
    </customSheetView>
    <customSheetView guid="{53803D8B-0A9B-4271-B690-B5F9FC4E36BE}" state="hidden" showRuler="0">
      <selection activeCell="B3" sqref="B3"/>
      <pageMargins left="0.75" right="0.75" top="1" bottom="1" header="0.5" footer="0.5"/>
      <headerFooter alignWithMargins="0"/>
    </customSheetView>
  </customSheetViews>
  <phoneticPr fontId="17"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16"/>
  <sheetViews>
    <sheetView showGridLines="0" workbookViewId="0">
      <selection activeCell="G10" sqref="G10"/>
    </sheetView>
  </sheetViews>
  <sheetFormatPr defaultRowHeight="12.75"/>
  <cols>
    <col min="1" max="1" width="1.140625" customWidth="1"/>
    <col min="2" max="2" width="64.42578125" customWidth="1"/>
    <col min="3" max="3" width="1.5703125" customWidth="1"/>
    <col min="4" max="4" width="5.5703125" customWidth="1"/>
    <col min="5" max="6" width="16" customWidth="1"/>
  </cols>
  <sheetData>
    <row r="1" spans="2:6">
      <c r="B1" s="104" t="s">
        <v>135</v>
      </c>
      <c r="C1" s="104"/>
      <c r="D1" s="113"/>
      <c r="E1" s="113"/>
      <c r="F1" s="113"/>
    </row>
    <row r="2" spans="2:6">
      <c r="B2" s="104" t="s">
        <v>136</v>
      </c>
      <c r="C2" s="104"/>
      <c r="D2" s="113"/>
      <c r="E2" s="113"/>
      <c r="F2" s="113"/>
    </row>
    <row r="3" spans="2:6">
      <c r="B3" s="105"/>
      <c r="C3" s="105"/>
      <c r="D3" s="114"/>
      <c r="E3" s="114"/>
      <c r="F3" s="114"/>
    </row>
    <row r="4" spans="2:6" ht="51">
      <c r="B4" s="105" t="s">
        <v>137</v>
      </c>
      <c r="C4" s="105"/>
      <c r="D4" s="114"/>
      <c r="E4" s="114"/>
      <c r="F4" s="114"/>
    </row>
    <row r="5" spans="2:6">
      <c r="B5" s="105"/>
      <c r="C5" s="105"/>
      <c r="D5" s="114"/>
      <c r="E5" s="114"/>
      <c r="F5" s="114"/>
    </row>
    <row r="6" spans="2:6">
      <c r="B6" s="104" t="s">
        <v>138</v>
      </c>
      <c r="C6" s="104"/>
      <c r="D6" s="113"/>
      <c r="E6" s="113" t="s">
        <v>139</v>
      </c>
      <c r="F6" s="113" t="s">
        <v>140</v>
      </c>
    </row>
    <row r="7" spans="2:6" ht="13.5" thickBot="1">
      <c r="B7" s="105"/>
      <c r="C7" s="105"/>
      <c r="D7" s="114"/>
      <c r="E7" s="114"/>
      <c r="F7" s="114"/>
    </row>
    <row r="8" spans="2:6" ht="38.25">
      <c r="B8" s="106" t="s">
        <v>141</v>
      </c>
      <c r="C8" s="107"/>
      <c r="D8" s="115"/>
      <c r="E8" s="115">
        <v>2</v>
      </c>
      <c r="F8" s="116"/>
    </row>
    <row r="9" spans="2:6" ht="25.5">
      <c r="B9" s="108"/>
      <c r="C9" s="105"/>
      <c r="D9" s="114"/>
      <c r="E9" s="117" t="s">
        <v>142</v>
      </c>
      <c r="F9" s="118" t="s">
        <v>144</v>
      </c>
    </row>
    <row r="10" spans="2:6" ht="26.25" thickBot="1">
      <c r="B10" s="109"/>
      <c r="C10" s="110"/>
      <c r="D10" s="119"/>
      <c r="E10" s="120" t="s">
        <v>143</v>
      </c>
      <c r="F10" s="121"/>
    </row>
    <row r="11" spans="2:6">
      <c r="B11" s="105"/>
      <c r="C11" s="105"/>
      <c r="D11" s="114"/>
      <c r="E11" s="114"/>
      <c r="F11" s="114"/>
    </row>
    <row r="12" spans="2:6">
      <c r="B12" s="105"/>
      <c r="C12" s="105"/>
      <c r="D12" s="114"/>
      <c r="E12" s="114"/>
      <c r="F12" s="114"/>
    </row>
    <row r="13" spans="2:6">
      <c r="B13" s="104" t="s">
        <v>145</v>
      </c>
      <c r="C13" s="104"/>
      <c r="D13" s="113"/>
      <c r="E13" s="113"/>
      <c r="F13" s="113"/>
    </row>
    <row r="14" spans="2:6" ht="13.5" thickBot="1">
      <c r="B14" s="105"/>
      <c r="C14" s="105"/>
      <c r="D14" s="114"/>
      <c r="E14" s="114"/>
      <c r="F14" s="114"/>
    </row>
    <row r="15" spans="2:6" ht="39" thickBot="1">
      <c r="B15" s="111" t="s">
        <v>146</v>
      </c>
      <c r="C15" s="112"/>
      <c r="D15" s="122"/>
      <c r="E15" s="122">
        <v>3</v>
      </c>
      <c r="F15" s="123" t="s">
        <v>144</v>
      </c>
    </row>
    <row r="16" spans="2:6">
      <c r="B16" s="105"/>
      <c r="C16" s="105"/>
      <c r="D16" s="114"/>
      <c r="E16" s="114"/>
      <c r="F16" s="114"/>
    </row>
  </sheetData>
  <hyperlinks>
    <hyperlink ref="E9" location="'Example Sheet'!W54" display="'Example Sheet'!W54" xr:uid="{00000000-0004-0000-0400-000000000000}"/>
    <hyperlink ref="E10" location="'Example Sheet'!W77" display="'Example Sheet'!W77" xr:uid="{00000000-0004-0000-0400-000001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555F30FC2B0CD44A52F2458A75E401E" ma:contentTypeVersion="8" ma:contentTypeDescription="Create a new document." ma:contentTypeScope="" ma:versionID="3ecd6633d5b9631f75136103c57b1eed">
  <xsd:schema xmlns:xsd="http://www.w3.org/2001/XMLSchema" xmlns:xs="http://www.w3.org/2001/XMLSchema" xmlns:p="http://schemas.microsoft.com/office/2006/metadata/properties" xmlns:ns3="5d6799dd-5488-4ce8-8c88-b80b9b2edc63" targetNamespace="http://schemas.microsoft.com/office/2006/metadata/properties" ma:root="true" ma:fieldsID="b41ba99508e94484675c8dc46e0678dd" ns3:_="">
    <xsd:import namespace="5d6799dd-5488-4ce8-8c88-b80b9b2edc6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6799dd-5488-4ce8-8c88-b80b9b2edc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B10C7E-5E0D-4C6F-A469-24386A70312D}">
  <ds:schemaRefs>
    <ds:schemaRef ds:uri="http://schemas.openxmlformats.org/package/2006/metadata/core-properties"/>
    <ds:schemaRef ds:uri="http://purl.org/dc/elements/1.1/"/>
    <ds:schemaRef ds:uri="http://schemas.microsoft.com/office/2006/documentManagement/types"/>
    <ds:schemaRef ds:uri="http://schemas.microsoft.com/office/2006/metadata/properties"/>
    <ds:schemaRef ds:uri="http://purl.org/dc/dcmitype/"/>
    <ds:schemaRef ds:uri="http://www.w3.org/XML/1998/namespace"/>
    <ds:schemaRef ds:uri="http://purl.org/dc/terms/"/>
    <ds:schemaRef ds:uri="http://schemas.microsoft.com/office/infopath/2007/PartnerControls"/>
    <ds:schemaRef ds:uri="5d6799dd-5488-4ce8-8c88-b80b9b2edc63"/>
  </ds:schemaRefs>
</ds:datastoreItem>
</file>

<file path=customXml/itemProps2.xml><?xml version="1.0" encoding="utf-8"?>
<ds:datastoreItem xmlns:ds="http://schemas.openxmlformats.org/officeDocument/2006/customXml" ds:itemID="{E21033C1-1486-4B53-BD54-1CA517A96F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6799dd-5488-4ce8-8c88-b80b9b2edc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DE1C62B-5D5B-43EA-BFA4-80C7030418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Example Sheet</vt:lpstr>
      <vt:lpstr>Fault Current Calculation</vt:lpstr>
      <vt:lpstr>TABLES</vt:lpstr>
      <vt:lpstr>Sheet2</vt:lpstr>
      <vt:lpstr>Sheet3</vt:lpstr>
      <vt:lpstr>Compatibility Report</vt:lpstr>
      <vt:lpstr>'Fault Current Calculation'!Print_Area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dc:creator>
  <cp:lastModifiedBy>paula</cp:lastModifiedBy>
  <cp:lastPrinted>2014-03-31T18:12:39Z</cp:lastPrinted>
  <dcterms:created xsi:type="dcterms:W3CDTF">2000-12-15T00:58:27Z</dcterms:created>
  <dcterms:modified xsi:type="dcterms:W3CDTF">2021-08-26T12:07:39Z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0x0101006555F30FC2B0CD44A52F2458A75E401E</vt:lpwstr>
  </property>
</Properties>
</file>